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i Assis\Desktop\WEB\rassis_WEBSITE\artigos\Operacoes\"/>
    </mc:Choice>
  </mc:AlternateContent>
  <bookViews>
    <workbookView xWindow="0" yWindow="0" windowWidth="23040" windowHeight="10668"/>
  </bookViews>
  <sheets>
    <sheet name="Acolhimento" sheetId="2" r:id="rId1"/>
    <sheet name="Dados e Resultados" sheetId="1" r:id="rId2"/>
  </sheets>
  <definedNames>
    <definedName name="__123Graph_A" localSheetId="1" hidden="1">'Dados e Resultados'!$C$24:$C$29</definedName>
    <definedName name="__123Graph_AACUMUL" localSheetId="1" hidden="1">'Dados e Resultados'!$E$24:$E$29</definedName>
    <definedName name="__123Graph_ADISCRETAS" localSheetId="1" hidden="1">'Dados e Resultados'!$C$24:$C$29</definedName>
    <definedName name="__123Graph_B" localSheetId="1" hidden="1">'Dados e Resultados'!$B$57:$B$62</definedName>
    <definedName name="__123Graph_BACUMUL" localSheetId="1" hidden="1">'Dados e Resultados'!$L$57:$L$62</definedName>
    <definedName name="__123Graph_BDISCRETAS" localSheetId="1" hidden="1">'Dados e Resultados'!$B$57:$B$62</definedName>
    <definedName name="__123Graph_C" localSheetId="1" hidden="1">'Dados e Resultados'!$E$70:$E$75</definedName>
    <definedName name="__123Graph_CACUMUL" localSheetId="1" hidden="1">'Dados e Resultados'!$N$70:$N$75</definedName>
    <definedName name="__123Graph_CDISCRETAS" localSheetId="1" hidden="1">'Dados e Resultados'!$E$70:$E$75</definedName>
    <definedName name="__123Graph_D" localSheetId="1" hidden="1">'Dados e Resultados'!$B$83:$B$88</definedName>
    <definedName name="__123Graph_DACUMUL" localSheetId="1" hidden="1">'Dados e Resultados'!$I$83:$I$88</definedName>
    <definedName name="__123Graph_DDISCRETAS" localSheetId="1" hidden="1">'Dados e Resultados'!$B$83:$B$88</definedName>
    <definedName name="__123Graph_E" localSheetId="1" hidden="1">'Dados e Resultados'!$N$96:$N$101</definedName>
    <definedName name="__123Graph_EACUMUL" localSheetId="1" hidden="1">'Dados e Resultados'!$O$96:$O$101</definedName>
    <definedName name="__123Graph_EDISCRETAS" localSheetId="1" hidden="1">'Dados e Resultados'!$N$96:$N$101</definedName>
    <definedName name="__123Graph_X" localSheetId="1" hidden="1">'Dados e Resultados'!$B$24:$B$29</definedName>
    <definedName name="__123Graph_XACUMUL" localSheetId="1" hidden="1">'Dados e Resultados'!$B$24:$B$29</definedName>
    <definedName name="__123Graph_XDISCRETAS" localSheetId="1" hidden="1">'Dados e Resultados'!$B$24:$B$29</definedName>
    <definedName name="_Regression_Int" localSheetId="1" hidden="1">1</definedName>
  </definedNames>
  <calcPr calcId="152511"/>
</workbook>
</file>

<file path=xl/calcChain.xml><?xml version="1.0" encoding="utf-8"?>
<calcChain xmlns="http://schemas.openxmlformats.org/spreadsheetml/2006/main">
  <c r="C118" i="1" l="1"/>
  <c r="C41" i="1" l="1"/>
  <c r="B41" i="1"/>
  <c r="C96" i="1"/>
  <c r="D96" i="1" s="1"/>
  <c r="M96" i="1" s="1"/>
  <c r="B96" i="1"/>
  <c r="F96" i="1"/>
  <c r="E15" i="1"/>
  <c r="C97" i="1"/>
  <c r="D97" i="1"/>
  <c r="E97" i="1" s="1"/>
  <c r="F97" i="1"/>
  <c r="C42" i="1"/>
  <c r="D42" i="1" s="1"/>
  <c r="J97" i="1"/>
  <c r="C98" i="1"/>
  <c r="D98" i="1" s="1"/>
  <c r="M98" i="1" s="1"/>
  <c r="E98" i="1"/>
  <c r="F98" i="1"/>
  <c r="C43" i="1"/>
  <c r="D43" i="1"/>
  <c r="C99" i="1"/>
  <c r="D99" i="1"/>
  <c r="E99" i="1" s="1"/>
  <c r="F99" i="1"/>
  <c r="C44" i="1"/>
  <c r="C100" i="1"/>
  <c r="D100" i="1" s="1"/>
  <c r="M100" i="1" s="1"/>
  <c r="F100" i="1"/>
  <c r="C45" i="1"/>
  <c r="D45" i="1"/>
  <c r="C101" i="1"/>
  <c r="D101" i="1"/>
  <c r="E101" i="1" s="1"/>
  <c r="F101" i="1"/>
  <c r="C46" i="1"/>
  <c r="M99" i="1"/>
  <c r="M101" i="1"/>
  <c r="H57" i="1"/>
  <c r="D58" i="1"/>
  <c r="E58" i="1"/>
  <c r="D57" i="1"/>
  <c r="E57" i="1" s="1"/>
  <c r="D59" i="1"/>
  <c r="E59" i="1" s="1"/>
  <c r="D60" i="1"/>
  <c r="E60" i="1" s="1"/>
  <c r="D61" i="1"/>
  <c r="E61" i="1" s="1"/>
  <c r="D62" i="1"/>
  <c r="E62" i="1" s="1"/>
  <c r="J57" i="1"/>
  <c r="B70" i="1"/>
  <c r="C70" i="1"/>
  <c r="C31" i="1"/>
  <c r="D31" i="1"/>
  <c r="D76" i="1"/>
  <c r="D70" i="1" s="1"/>
  <c r="M70" i="1" s="1"/>
  <c r="F70" i="1"/>
  <c r="C71" i="1"/>
  <c r="F71" i="1"/>
  <c r="J71" i="1"/>
  <c r="C72" i="1"/>
  <c r="F72" i="1"/>
  <c r="C73" i="1"/>
  <c r="F73" i="1"/>
  <c r="C74" i="1"/>
  <c r="F74" i="1"/>
  <c r="C75" i="1"/>
  <c r="F75" i="1"/>
  <c r="E13" i="1"/>
  <c r="C83" i="1"/>
  <c r="C84" i="1"/>
  <c r="C85" i="1"/>
  <c r="C86" i="1"/>
  <c r="C87" i="1"/>
  <c r="C88" i="1"/>
  <c r="E131" i="1"/>
  <c r="D131" i="1"/>
  <c r="F131" i="1"/>
  <c r="C131" i="1"/>
  <c r="E24" i="1"/>
  <c r="E25" i="1" s="1"/>
  <c r="E26" i="1"/>
  <c r="E27" i="1" s="1"/>
  <c r="E28" i="1" s="1"/>
  <c r="E29" i="1" s="1"/>
  <c r="C48" i="1"/>
  <c r="G70" i="1" l="1"/>
  <c r="D75" i="1"/>
  <c r="D74" i="1"/>
  <c r="D71" i="1"/>
  <c r="E70" i="1"/>
  <c r="N70" i="1" s="1"/>
  <c r="J100" i="1"/>
  <c r="J74" i="1"/>
  <c r="E100" i="1"/>
  <c r="D44" i="1"/>
  <c r="D73" i="1"/>
  <c r="D46" i="1"/>
  <c r="J98" i="1"/>
  <c r="J72" i="1"/>
  <c r="E41" i="1"/>
  <c r="D41" i="1"/>
  <c r="D72" i="1"/>
  <c r="M97" i="1"/>
  <c r="M102" i="1" s="1"/>
  <c r="F114" i="1" s="1"/>
  <c r="E96" i="1"/>
  <c r="B83" i="1" l="1"/>
  <c r="B57" i="1"/>
  <c r="M73" i="1"/>
  <c r="E73" i="1"/>
  <c r="E74" i="1"/>
  <c r="M74" i="1"/>
  <c r="J70" i="1"/>
  <c r="J96" i="1"/>
  <c r="J75" i="1"/>
  <c r="J101" i="1"/>
  <c r="M71" i="1"/>
  <c r="E71" i="1"/>
  <c r="N71" i="1" s="1"/>
  <c r="N72" i="1" s="1"/>
  <c r="N73" i="1" s="1"/>
  <c r="N74" i="1" s="1"/>
  <c r="N75" i="1" s="1"/>
  <c r="J99" i="1"/>
  <c r="J73" i="1"/>
  <c r="B71" i="1"/>
  <c r="H70" i="1"/>
  <c r="I70" i="1" s="1"/>
  <c r="K70" i="1"/>
  <c r="L70" i="1" s="1"/>
  <c r="G96" i="1"/>
  <c r="M75" i="1"/>
  <c r="E75" i="1"/>
  <c r="E72" i="1"/>
  <c r="M72" i="1"/>
  <c r="F41" i="1"/>
  <c r="B42" i="1" s="1"/>
  <c r="K96" i="1" l="1"/>
  <c r="L96" i="1" s="1"/>
  <c r="H96" i="1"/>
  <c r="B97" i="1"/>
  <c r="G97" i="1" s="1"/>
  <c r="I83" i="1"/>
  <c r="G71" i="1"/>
  <c r="C57" i="1"/>
  <c r="L57" i="1"/>
  <c r="E42" i="1"/>
  <c r="M76" i="1"/>
  <c r="D114" i="1" s="1"/>
  <c r="I96" i="1" l="1"/>
  <c r="O96" i="1"/>
  <c r="N96" i="1"/>
  <c r="B58" i="1"/>
  <c r="C58" i="1" s="1"/>
  <c r="B84" i="1"/>
  <c r="H71" i="1"/>
  <c r="I71" i="1" s="1"/>
  <c r="B72" i="1"/>
  <c r="G72" i="1" s="1"/>
  <c r="K71" i="1"/>
  <c r="L71" i="1" s="1"/>
  <c r="F42" i="1"/>
  <c r="B43" i="1" s="1"/>
  <c r="I84" i="1"/>
  <c r="K97" i="1"/>
  <c r="L97" i="1" s="1"/>
  <c r="B98" i="1"/>
  <c r="G98" i="1" s="1"/>
  <c r="H97" i="1"/>
  <c r="L58" i="1"/>
  <c r="K57" i="1"/>
  <c r="F57" i="1"/>
  <c r="B73" i="1" l="1"/>
  <c r="G73" i="1" s="1"/>
  <c r="K72" i="1"/>
  <c r="L72" i="1" s="1"/>
  <c r="H72" i="1"/>
  <c r="I72" i="1" s="1"/>
  <c r="K58" i="1"/>
  <c r="F58" i="1"/>
  <c r="I97" i="1"/>
  <c r="N97" i="1"/>
  <c r="O97" i="1" s="1"/>
  <c r="E43" i="1"/>
  <c r="F43" i="1" s="1"/>
  <c r="B44" i="1" s="1"/>
  <c r="H98" i="1"/>
  <c r="B99" i="1"/>
  <c r="G99" i="1" s="1"/>
  <c r="K98" i="1"/>
  <c r="L98" i="1" s="1"/>
  <c r="E44" i="1" l="1"/>
  <c r="N98" i="1"/>
  <c r="O98" i="1" s="1"/>
  <c r="I98" i="1"/>
  <c r="H73" i="1"/>
  <c r="I73" i="1" s="1"/>
  <c r="B74" i="1"/>
  <c r="G74" i="1" s="1"/>
  <c r="K73" i="1"/>
  <c r="L73" i="1" s="1"/>
  <c r="B100" i="1"/>
  <c r="G100" i="1" s="1"/>
  <c r="K99" i="1"/>
  <c r="L99" i="1" s="1"/>
  <c r="H99" i="1"/>
  <c r="G58" i="1"/>
  <c r="H58" i="1" s="1"/>
  <c r="I58" i="1"/>
  <c r="J58" i="1" s="1"/>
  <c r="B85" i="1"/>
  <c r="B59" i="1"/>
  <c r="C59" i="1" l="1"/>
  <c r="L59" i="1"/>
  <c r="I85" i="1"/>
  <c r="I86" i="1" s="1"/>
  <c r="B75" i="1"/>
  <c r="G75" i="1" s="1"/>
  <c r="K74" i="1"/>
  <c r="L74" i="1" s="1"/>
  <c r="H74" i="1"/>
  <c r="I74" i="1" s="1"/>
  <c r="B60" i="1"/>
  <c r="C60" i="1" s="1"/>
  <c r="B86" i="1"/>
  <c r="H100" i="1"/>
  <c r="K100" i="1"/>
  <c r="L100" i="1" s="1"/>
  <c r="B101" i="1"/>
  <c r="G101" i="1" s="1"/>
  <c r="I99" i="1"/>
  <c r="N99" i="1"/>
  <c r="O99" i="1" s="1"/>
  <c r="F44" i="1"/>
  <c r="B45" i="1" s="1"/>
  <c r="K60" i="1" l="1"/>
  <c r="F60" i="1"/>
  <c r="K75" i="1"/>
  <c r="L75" i="1" s="1"/>
  <c r="L76" i="1" s="1"/>
  <c r="D110" i="1" s="1"/>
  <c r="D116" i="1" s="1"/>
  <c r="H75" i="1"/>
  <c r="I75" i="1" s="1"/>
  <c r="I76" i="1" s="1"/>
  <c r="D111" i="1" s="1"/>
  <c r="I100" i="1"/>
  <c r="N100" i="1"/>
  <c r="O100" i="1" s="1"/>
  <c r="L60" i="1"/>
  <c r="K59" i="1"/>
  <c r="F59" i="1"/>
  <c r="F45" i="1"/>
  <c r="B46" i="1" s="1"/>
  <c r="E45" i="1"/>
  <c r="K101" i="1"/>
  <c r="L101" i="1" s="1"/>
  <c r="L102" i="1" s="1"/>
  <c r="F110" i="1" s="1"/>
  <c r="H101" i="1"/>
  <c r="O101" i="1" l="1"/>
  <c r="F46" i="1"/>
  <c r="E46" i="1"/>
  <c r="G60" i="1"/>
  <c r="H60" i="1" s="1"/>
  <c r="I60" i="1"/>
  <c r="J60" i="1" s="1"/>
  <c r="I101" i="1"/>
  <c r="I102" i="1" s="1"/>
  <c r="F113" i="1" s="1"/>
  <c r="F116" i="1" s="1"/>
  <c r="N101" i="1"/>
  <c r="B87" i="1"/>
  <c r="B61" i="1"/>
  <c r="C61" i="1" s="1"/>
  <c r="E48" i="1"/>
  <c r="B65" i="1"/>
  <c r="G59" i="1"/>
  <c r="H59" i="1" s="1"/>
  <c r="I59" i="1"/>
  <c r="J59" i="1" s="1"/>
  <c r="B91" i="1" l="1"/>
  <c r="B62" i="1"/>
  <c r="C62" i="1" s="1"/>
  <c r="B88" i="1"/>
  <c r="K61" i="1"/>
  <c r="F61" i="1"/>
  <c r="D89" i="1"/>
  <c r="I87" i="1"/>
  <c r="I88" i="1" s="1"/>
  <c r="L61" i="1"/>
  <c r="L62" i="1" s="1"/>
  <c r="G61" i="1" l="1"/>
  <c r="H61" i="1" s="1"/>
  <c r="I61" i="1"/>
  <c r="J61" i="1" s="1"/>
  <c r="K62" i="1"/>
  <c r="K63" i="1" s="1"/>
  <c r="C114" i="1" s="1"/>
  <c r="F62" i="1"/>
  <c r="D84" i="1"/>
  <c r="D86" i="1"/>
  <c r="D88" i="1"/>
  <c r="D83" i="1"/>
  <c r="D85" i="1"/>
  <c r="D87" i="1"/>
  <c r="E87" i="1" l="1"/>
  <c r="F87" i="1" s="1"/>
  <c r="G87" i="1" s="1"/>
  <c r="H87" i="1"/>
  <c r="E86" i="1"/>
  <c r="F86" i="1" s="1"/>
  <c r="G86" i="1" s="1"/>
  <c r="H86" i="1"/>
  <c r="E83" i="1"/>
  <c r="F83" i="1" s="1"/>
  <c r="G83" i="1" s="1"/>
  <c r="H83" i="1"/>
  <c r="G62" i="1"/>
  <c r="H62" i="1" s="1"/>
  <c r="H63" i="1" s="1"/>
  <c r="C108" i="1" s="1"/>
  <c r="C116" i="1" s="1"/>
  <c r="I62" i="1"/>
  <c r="J62" i="1" s="1"/>
  <c r="H88" i="1"/>
  <c r="E88" i="1"/>
  <c r="F88" i="1" s="1"/>
  <c r="G88" i="1" s="1"/>
  <c r="J63" i="1"/>
  <c r="C109" i="1" s="1"/>
  <c r="E85" i="1"/>
  <c r="F85" i="1" s="1"/>
  <c r="G85" i="1" s="1"/>
  <c r="H85" i="1"/>
  <c r="H84" i="1"/>
  <c r="E84" i="1"/>
  <c r="F84" i="1" s="1"/>
  <c r="G84" i="1" s="1"/>
  <c r="B51" i="1" l="1"/>
  <c r="H89" i="1"/>
  <c r="E114" i="1" s="1"/>
  <c r="G89" i="1"/>
  <c r="E112" i="1" s="1"/>
  <c r="E116" i="1" s="1"/>
  <c r="D129" i="1" s="1"/>
  <c r="F129" i="1" l="1"/>
  <c r="E129" i="1"/>
  <c r="B78" i="1"/>
  <c r="C129" i="1"/>
</calcChain>
</file>

<file path=xl/comments1.xml><?xml version="1.0" encoding="utf-8"?>
<comments xmlns="http://schemas.openxmlformats.org/spreadsheetml/2006/main">
  <authors>
    <author>Rui Assis</author>
  </authors>
  <commentList>
    <comment ref="D33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definida pela Direcção Comercial e da responsabilidade desta </t>
        </r>
      </text>
    </comment>
  </commentList>
</comments>
</file>

<file path=xl/sharedStrings.xml><?xml version="1.0" encoding="utf-8"?>
<sst xmlns="http://schemas.openxmlformats.org/spreadsheetml/2006/main" count="229" uniqueCount="105">
  <si>
    <t xml:space="preserve"> - Tempo disponível:</t>
  </si>
  <si>
    <t xml:space="preserve"> - Stock inicial:</t>
  </si>
  <si>
    <t>unid</t>
  </si>
  <si>
    <t xml:space="preserve"> - M.d.o. (tempo normal):</t>
  </si>
  <si>
    <t xml:space="preserve"> - M.d.o. (tempo extra):</t>
  </si>
  <si>
    <t xml:space="preserve"> - Custo dispensar:</t>
  </si>
  <si>
    <t xml:space="preserve"> - Custo contratar e formar:</t>
  </si>
  <si>
    <t xml:space="preserve"> - Custo variável:</t>
  </si>
  <si>
    <t>- Custo de posse:</t>
  </si>
  <si>
    <t>- Custo subcontratação:</t>
  </si>
  <si>
    <t>Previsão</t>
  </si>
  <si>
    <t>Dias úteis</t>
  </si>
  <si>
    <t>Meses</t>
  </si>
  <si>
    <t>de vendas</t>
  </si>
  <si>
    <t xml:space="preserve">   Vendas </t>
  </si>
  <si>
    <t>(unid/mês)</t>
  </si>
  <si>
    <t>(dias/mês)</t>
  </si>
  <si>
    <t xml:space="preserve"> acumuladas</t>
  </si>
  <si>
    <t>Jan</t>
  </si>
  <si>
    <t>Fev</t>
  </si>
  <si>
    <t>Mar</t>
  </si>
  <si>
    <t>Abr</t>
  </si>
  <si>
    <t>Mai</t>
  </si>
  <si>
    <t>Jun</t>
  </si>
  <si>
    <t>Stock</t>
  </si>
  <si>
    <t>Produção</t>
  </si>
  <si>
    <t>inicial</t>
  </si>
  <si>
    <t>vendas</t>
  </si>
  <si>
    <t>segurança</t>
  </si>
  <si>
    <t>necessária</t>
  </si>
  <si>
    <t>final</t>
  </si>
  <si>
    <t>(unid)</t>
  </si>
  <si>
    <t>Custo total:</t>
  </si>
  <si>
    <t>Horas</t>
  </si>
  <si>
    <t>Custo</t>
  </si>
  <si>
    <t>contratar</t>
  </si>
  <si>
    <t>dispensar</t>
  </si>
  <si>
    <t>acumulada</t>
  </si>
  <si>
    <t>Vendas</t>
  </si>
  <si>
    <t>possível</t>
  </si>
  <si>
    <t>previstas</t>
  </si>
  <si>
    <t>Roturas</t>
  </si>
  <si>
    <t>roturas</t>
  </si>
  <si>
    <t>excesso</t>
  </si>
  <si>
    <t>posse</t>
  </si>
  <si>
    <t xml:space="preserve">  PLANO 3 - Subcontratar parte</t>
  </si>
  <si>
    <t xml:space="preserve">  PLANO 4 - Recorrer a horas extra</t>
  </si>
  <si>
    <t>no mês</t>
  </si>
  <si>
    <t>RESUMO DOS PLANOS</t>
  </si>
  <si>
    <t>Plano1</t>
  </si>
  <si>
    <t>Plano2</t>
  </si>
  <si>
    <t>Plano3</t>
  </si>
  <si>
    <t>Plano4</t>
  </si>
  <si>
    <t xml:space="preserve">   Contratar</t>
  </si>
  <si>
    <t xml:space="preserve">   Dispensar</t>
  </si>
  <si>
    <t xml:space="preserve">   Posse stock</t>
  </si>
  <si>
    <t xml:space="preserve">   Oportunidade</t>
  </si>
  <si>
    <t xml:space="preserve">   Subcontratar</t>
  </si>
  <si>
    <t xml:space="preserve">   Tempo extra</t>
  </si>
  <si>
    <t xml:space="preserve">   Tempo normal</t>
  </si>
  <si>
    <t>Resposta:</t>
  </si>
  <si>
    <t xml:space="preserve"> - Tempo unitário de produção:</t>
  </si>
  <si>
    <t>Rui Assis</t>
  </si>
  <si>
    <t>%.ano</t>
  </si>
  <si>
    <t xml:space="preserve"> - Preço de venda:</t>
  </si>
  <si>
    <t xml:space="preserve"> - Margem contribuição:</t>
  </si>
  <si>
    <t>necessárias</t>
  </si>
  <si>
    <t>a contratar</t>
  </si>
  <si>
    <t>a dispensar</t>
  </si>
  <si>
    <t>tempo normal</t>
  </si>
  <si>
    <t>disponíveis</t>
  </si>
  <si>
    <t>necessários</t>
  </si>
  <si>
    <t>Nº trabalhadores =</t>
  </si>
  <si>
    <t>Quantidade</t>
  </si>
  <si>
    <t>a subcontratar</t>
  </si>
  <si>
    <t>subcontratação</t>
  </si>
  <si>
    <t>horas extra</t>
  </si>
  <si>
    <t>horas/unid</t>
  </si>
  <si>
    <t>horas/dia</t>
  </si>
  <si>
    <t>Dados gerais</t>
  </si>
  <si>
    <r>
      <t xml:space="preserve">  PLANO 2 - Variar o volume de </t>
    </r>
    <r>
      <rPr>
        <b/>
        <i/>
        <sz val="12"/>
        <rFont val="Arial"/>
        <family val="2"/>
      </rPr>
      <t>stock</t>
    </r>
  </si>
  <si>
    <t>Quadro de cálculo do stock final de período</t>
  </si>
  <si>
    <t>PLANO 1 - Variar volume de m.d.o.</t>
  </si>
  <si>
    <t>meses</t>
  </si>
  <si>
    <t>Política de stocks de produtos acabados:</t>
  </si>
  <si>
    <t>Dados comerciais</t>
  </si>
  <si>
    <t>Gestão de Operações</t>
  </si>
  <si>
    <t xml:space="preserve">Células a azul para dados, verde claro para cálculos intermédios e amarelo para resultados </t>
  </si>
  <si>
    <t>Planeamento agregado</t>
  </si>
  <si>
    <t>u.m./hora</t>
  </si>
  <si>
    <t>u.m./operador</t>
  </si>
  <si>
    <t>u.m./unid</t>
  </si>
  <si>
    <t>u.m./unid.mês</t>
  </si>
  <si>
    <t>u.m.</t>
  </si>
  <si>
    <t xml:space="preserve">     Custos (u.m.)</t>
  </si>
  <si>
    <t xml:space="preserve">   Totais (u.m.)</t>
  </si>
  <si>
    <t>http://www.rassis.com</t>
  </si>
  <si>
    <t>disponíveis/</t>
  </si>
  <si>
    <t>trabalhador</t>
  </si>
  <si>
    <t>Número de</t>
  </si>
  <si>
    <t>trabalhadores</t>
  </si>
  <si>
    <t>Custo de</t>
  </si>
  <si>
    <t>dias úteis</t>
  </si>
  <si>
    <t>Exemplo de um caso com 4 cenários alternativos</t>
  </si>
  <si>
    <t>rassis46@gmail.com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</si>
</sst>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9" x14ac:knownFonts="1">
    <font>
      <sz val="10"/>
      <name val="Courier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20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16"/>
      <color indexed="12"/>
      <name val="Times New Roman"/>
      <family val="1"/>
    </font>
    <font>
      <sz val="14"/>
      <color indexed="12"/>
      <name val="Times New Roman"/>
      <family val="1"/>
    </font>
    <font>
      <b/>
      <u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2">
    <xf numFmtId="164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3">
    <xf numFmtId="164" fontId="0" fillId="0" borderId="0" xfId="0"/>
    <xf numFmtId="0" fontId="2" fillId="2" borderId="0" xfId="0" applyNumberFormat="1" applyFont="1" applyFill="1" applyBorder="1" applyAlignment="1" applyProtection="1">
      <alignment horizontal="center"/>
      <protection locked="0"/>
    </xf>
    <xf numFmtId="164" fontId="5" fillId="4" borderId="0" xfId="0" applyFont="1" applyFill="1" applyAlignment="1" applyProtection="1">
      <alignment horizontal="center"/>
    </xf>
    <xf numFmtId="164" fontId="6" fillId="3" borderId="0" xfId="0" applyFont="1" applyFill="1" applyAlignment="1" applyProtection="1">
      <alignment horizontal="center"/>
    </xf>
    <xf numFmtId="0" fontId="7" fillId="3" borderId="0" xfId="0" applyNumberFormat="1" applyFont="1" applyFill="1" applyAlignment="1" applyProtection="1">
      <alignment horizontal="center"/>
    </xf>
    <xf numFmtId="164" fontId="4" fillId="3" borderId="0" xfId="0" applyFont="1" applyFill="1" applyAlignment="1" applyProtection="1">
      <alignment horizontal="center"/>
    </xf>
    <xf numFmtId="164" fontId="0" fillId="3" borderId="0" xfId="0" applyFill="1" applyAlignment="1" applyProtection="1">
      <alignment horizontal="center"/>
    </xf>
    <xf numFmtId="0" fontId="2" fillId="5" borderId="0" xfId="0" applyNumberFormat="1" applyFont="1" applyFill="1" applyBorder="1" applyAlignment="1" applyProtection="1">
      <alignment horizontal="center"/>
    </xf>
    <xf numFmtId="3" fontId="8" fillId="6" borderId="0" xfId="0" applyNumberFormat="1" applyFont="1" applyFill="1" applyBorder="1" applyAlignment="1" applyProtection="1">
      <alignment horizontal="center"/>
    </xf>
    <xf numFmtId="0" fontId="3" fillId="7" borderId="0" xfId="0" applyNumberFormat="1" applyFont="1" applyFill="1" applyProtection="1"/>
    <xf numFmtId="0" fontId="3" fillId="7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Protection="1"/>
    <xf numFmtId="0" fontId="3" fillId="7" borderId="0" xfId="0" quotePrefix="1" applyNumberFormat="1" applyFont="1" applyFill="1" applyAlignment="1" applyProtection="1">
      <alignment horizontal="left"/>
    </xf>
    <xf numFmtId="0" fontId="3" fillId="7" borderId="0" xfId="0" applyNumberFormat="1" applyFont="1" applyFill="1" applyBorder="1" applyProtection="1"/>
    <xf numFmtId="0" fontId="3" fillId="7" borderId="0" xfId="0" applyNumberFormat="1" applyFont="1" applyFill="1" applyBorder="1" applyAlignment="1" applyProtection="1"/>
    <xf numFmtId="0" fontId="3" fillId="7" borderId="0" xfId="0" quotePrefix="1" applyNumberFormat="1" applyFont="1" applyFill="1" applyBorder="1" applyAlignment="1" applyProtection="1">
      <alignment horizontal="center"/>
    </xf>
    <xf numFmtId="0" fontId="3" fillId="7" borderId="0" xfId="0" applyNumberFormat="1" applyFont="1" applyFill="1" applyAlignment="1" applyProtection="1">
      <alignment horizontal="center"/>
    </xf>
    <xf numFmtId="0" fontId="3" fillId="7" borderId="0" xfId="0" applyNumberFormat="1" applyFont="1" applyFill="1" applyBorder="1" applyAlignment="1" applyProtection="1">
      <alignment horizontal="right"/>
    </xf>
    <xf numFmtId="0" fontId="3" fillId="7" borderId="0" xfId="0" applyNumberFormat="1" applyFont="1" applyFill="1" applyAlignment="1" applyProtection="1">
      <alignment horizontal="left"/>
    </xf>
    <xf numFmtId="0" fontId="3" fillId="7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2" fillId="5" borderId="1" xfId="0" applyNumberFormat="1" applyFont="1" applyFill="1" applyBorder="1" applyAlignment="1" applyProtection="1">
      <alignment horizontal="center"/>
    </xf>
    <xf numFmtId="0" fontId="3" fillId="7" borderId="0" xfId="0" quotePrefix="1" applyNumberFormat="1" applyFont="1" applyFill="1" applyBorder="1" applyAlignment="1" applyProtection="1">
      <alignment horizontal="left"/>
    </xf>
    <xf numFmtId="0" fontId="2" fillId="7" borderId="0" xfId="0" applyNumberFormat="1" applyFont="1" applyFill="1" applyBorder="1" applyAlignment="1" applyProtection="1">
      <alignment horizontal="center"/>
    </xf>
    <xf numFmtId="0" fontId="9" fillId="7" borderId="0" xfId="0" applyNumberFormat="1" applyFont="1" applyFill="1" applyBorder="1" applyAlignment="1" applyProtection="1">
      <alignment horizontal="center"/>
    </xf>
    <xf numFmtId="0" fontId="3" fillId="8" borderId="0" xfId="0" applyNumberFormat="1" applyFont="1" applyFill="1" applyProtection="1"/>
    <xf numFmtId="0" fontId="3" fillId="8" borderId="0" xfId="0" applyNumberFormat="1" applyFont="1" applyFill="1" applyAlignment="1" applyProtection="1">
      <alignment horizontal="center"/>
    </xf>
    <xf numFmtId="0" fontId="13" fillId="3" borderId="0" xfId="1" applyFont="1" applyFill="1" applyAlignment="1" applyProtection="1">
      <alignment horizontal="center"/>
    </xf>
    <xf numFmtId="164" fontId="1" fillId="3" borderId="0" xfId="0" applyFont="1" applyFill="1" applyProtection="1"/>
    <xf numFmtId="164" fontId="1" fillId="4" borderId="0" xfId="0" applyFont="1" applyFill="1" applyProtection="1"/>
    <xf numFmtId="164" fontId="15" fillId="3" borderId="0" xfId="0" applyFont="1" applyFill="1" applyProtection="1"/>
    <xf numFmtId="164" fontId="9" fillId="3" borderId="0" xfId="0" applyFont="1" applyFill="1" applyProtection="1"/>
    <xf numFmtId="164" fontId="6" fillId="3" borderId="0" xfId="0" applyFont="1" applyFill="1" applyAlignment="1" applyProtection="1">
      <alignment horizontal="center"/>
      <protection hidden="1"/>
    </xf>
    <xf numFmtId="164" fontId="16" fillId="3" borderId="0" xfId="0" applyFont="1" applyFill="1" applyAlignment="1" applyProtection="1">
      <alignment horizontal="center"/>
    </xf>
    <xf numFmtId="0" fontId="1" fillId="7" borderId="0" xfId="0" quotePrefix="1" applyNumberFormat="1" applyFont="1" applyFill="1" applyBorder="1" applyAlignment="1" applyProtection="1">
      <alignment horizontal="center"/>
    </xf>
    <xf numFmtId="0" fontId="1" fillId="7" borderId="0" xfId="0" applyNumberFormat="1" applyFont="1" applyFill="1" applyBorder="1" applyAlignment="1" applyProtection="1">
      <alignment horizontal="center"/>
    </xf>
    <xf numFmtId="0" fontId="1" fillId="7" borderId="0" xfId="0" applyNumberFormat="1" applyFont="1" applyFill="1" applyAlignment="1" applyProtection="1">
      <alignment horizontal="center"/>
    </xf>
    <xf numFmtId="0" fontId="9" fillId="7" borderId="0" xfId="0" applyNumberFormat="1" applyFont="1" applyFill="1" applyBorder="1" applyAlignment="1" applyProtection="1">
      <alignment horizontal="right"/>
    </xf>
    <xf numFmtId="164" fontId="17" fillId="3" borderId="0" xfId="0" applyFont="1" applyFill="1" applyAlignment="1" applyProtection="1">
      <alignment horizontal="center"/>
    </xf>
    <xf numFmtId="0" fontId="8" fillId="6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Alignment="1" applyProtection="1">
      <alignment horizontal="center"/>
    </xf>
    <xf numFmtId="0" fontId="0" fillId="0" borderId="0" xfId="0" applyNumberFormat="1" applyAlignment="1">
      <alignment horizontal="center"/>
    </xf>
    <xf numFmtId="0" fontId="18" fillId="3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ssis46@gmail.com" TargetMode="External"/><Relationship Id="rId1" Type="http://schemas.openxmlformats.org/officeDocument/2006/relationships/hyperlink" Target="http://www.rass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tabSelected="1" zoomScale="120" zoomScaleNormal="120" workbookViewId="0"/>
  </sheetViews>
  <sheetFormatPr defaultRowHeight="12" x14ac:dyDescent="0.2"/>
  <cols>
    <col min="1" max="16" width="13.109375" customWidth="1"/>
  </cols>
  <sheetData>
    <row r="1" spans="1:16" ht="18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8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8" customHeight="1" x14ac:dyDescent="0.25">
      <c r="A3" s="28"/>
      <c r="B3" s="28"/>
      <c r="C3" s="28"/>
      <c r="D3" s="28"/>
      <c r="E3" s="29"/>
      <c r="F3" s="29"/>
      <c r="G3" s="29"/>
      <c r="H3" s="29"/>
      <c r="I3" s="29"/>
      <c r="J3" s="28"/>
      <c r="K3" s="28"/>
      <c r="L3" s="28"/>
      <c r="M3" s="28"/>
      <c r="N3" s="28"/>
      <c r="O3" s="28"/>
      <c r="P3" s="28"/>
    </row>
    <row r="4" spans="1:16" ht="24" customHeight="1" x14ac:dyDescent="0.4">
      <c r="A4" s="28"/>
      <c r="B4" s="28"/>
      <c r="C4" s="28"/>
      <c r="D4" s="28"/>
      <c r="E4" s="29"/>
      <c r="F4" s="29"/>
      <c r="G4" s="2" t="s">
        <v>86</v>
      </c>
      <c r="H4" s="29"/>
      <c r="I4" s="29"/>
      <c r="J4" s="28"/>
      <c r="K4" s="28"/>
      <c r="L4" s="28"/>
      <c r="M4" s="28"/>
      <c r="N4" s="28"/>
      <c r="O4" s="28"/>
      <c r="P4" s="28"/>
    </row>
    <row r="5" spans="1:16" ht="18" customHeight="1" x14ac:dyDescent="0.25">
      <c r="A5" s="28"/>
      <c r="B5" s="28"/>
      <c r="C5" s="28"/>
      <c r="D5" s="28"/>
      <c r="E5" s="29"/>
      <c r="F5" s="29"/>
      <c r="G5" s="29"/>
      <c r="H5" s="29"/>
      <c r="I5" s="29"/>
      <c r="J5" s="28"/>
      <c r="K5" s="28"/>
      <c r="L5" s="28"/>
      <c r="M5" s="28"/>
      <c r="N5" s="28"/>
      <c r="O5" s="28"/>
      <c r="P5" s="28"/>
    </row>
    <row r="6" spans="1:16" ht="18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8" customHeight="1" x14ac:dyDescent="0.3">
      <c r="A7" s="28"/>
      <c r="B7" s="28"/>
      <c r="C7" s="28"/>
      <c r="D7" s="28"/>
      <c r="E7" s="28"/>
      <c r="F7" s="28"/>
      <c r="G7" s="3" t="s">
        <v>62</v>
      </c>
      <c r="H7" s="30"/>
      <c r="I7" s="28"/>
      <c r="J7" s="28"/>
      <c r="K7" s="28"/>
      <c r="L7" s="28"/>
      <c r="M7" s="28"/>
      <c r="N7" s="28"/>
      <c r="O7" s="28"/>
      <c r="P7" s="28"/>
    </row>
    <row r="8" spans="1:16" ht="18" customHeight="1" x14ac:dyDescent="0.3">
      <c r="A8" s="28"/>
      <c r="B8" s="28"/>
      <c r="C8" s="28"/>
      <c r="D8" s="28"/>
      <c r="E8" s="28"/>
      <c r="F8" s="28"/>
      <c r="G8" s="4">
        <v>2015</v>
      </c>
      <c r="H8" s="28"/>
      <c r="I8" s="28"/>
      <c r="J8" s="28"/>
      <c r="K8" s="28"/>
      <c r="L8" s="28"/>
      <c r="M8" s="28"/>
      <c r="N8" s="28"/>
      <c r="O8" s="28"/>
      <c r="P8" s="28"/>
    </row>
    <row r="9" spans="1:16" ht="18" customHeight="1" x14ac:dyDescent="0.3">
      <c r="A9" s="28"/>
      <c r="B9" s="28"/>
      <c r="C9" s="28"/>
      <c r="D9" s="28"/>
      <c r="E9" s="28"/>
      <c r="F9" s="28"/>
      <c r="G9" s="42" t="s">
        <v>104</v>
      </c>
      <c r="H9" s="28"/>
      <c r="I9" s="5"/>
      <c r="J9" s="28"/>
      <c r="K9" s="28"/>
      <c r="L9" s="28"/>
      <c r="M9" s="28"/>
      <c r="N9" s="28"/>
      <c r="O9" s="28"/>
      <c r="P9" s="28"/>
    </row>
    <row r="10" spans="1:16" ht="18" customHeight="1" x14ac:dyDescent="0.25">
      <c r="A10" s="28"/>
      <c r="B10" s="28"/>
      <c r="C10" s="28"/>
      <c r="D10" s="28"/>
      <c r="E10" s="28"/>
      <c r="F10" s="28"/>
      <c r="G10" s="27" t="s">
        <v>96</v>
      </c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18" customHeight="1" x14ac:dyDescent="0.25">
      <c r="A11" s="28"/>
      <c r="B11" s="28"/>
      <c r="C11" s="28"/>
      <c r="D11" s="28"/>
      <c r="E11" s="28"/>
      <c r="F11" s="28"/>
      <c r="G11" s="31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8" customHeight="1" x14ac:dyDescent="0.35">
      <c r="A12" s="28"/>
      <c r="B12" s="28"/>
      <c r="C12" s="28"/>
      <c r="D12" s="28"/>
      <c r="E12" s="28"/>
      <c r="F12" s="28"/>
      <c r="G12" s="33" t="s">
        <v>88</v>
      </c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18" customHeight="1" x14ac:dyDescent="0.35">
      <c r="A13" s="28"/>
      <c r="B13" s="28"/>
      <c r="C13" s="28"/>
      <c r="D13" s="28"/>
      <c r="E13" s="28"/>
      <c r="F13" s="28"/>
      <c r="G13" s="38" t="s">
        <v>103</v>
      </c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8" customHeigh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18" customHeight="1" x14ac:dyDescent="0.3">
      <c r="A15" s="28"/>
      <c r="B15" s="28"/>
      <c r="C15" s="28"/>
      <c r="D15" s="28"/>
      <c r="E15" s="28"/>
      <c r="F15" s="28"/>
      <c r="G15" s="32" t="s">
        <v>87</v>
      </c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8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18" customHeigh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8" customHeigh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18" customHeigh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8" customHeigh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6"/>
      <c r="K20" s="28"/>
      <c r="L20" s="28"/>
      <c r="M20" s="28"/>
      <c r="N20" s="28"/>
      <c r="O20" s="28"/>
      <c r="P20" s="28"/>
    </row>
    <row r="21" spans="1:16" ht="18" customHeigh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18" customHeigh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</sheetData>
  <phoneticPr fontId="0" type="noConversion"/>
  <hyperlinks>
    <hyperlink ref="G10" r:id="rId1"/>
    <hyperlink ref="G9" r:id="rId2"/>
  </hyperlinks>
  <pageMargins left="0.75" right="0.75" top="1" bottom="1" header="0.5" footer="0.5"/>
  <pageSetup paperSize="9" orientation="portrait" horizontalDpi="4294967293" verticalDpi="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/>
  <dimension ref="A1:BV132"/>
  <sheetViews>
    <sheetView showGridLines="0" workbookViewId="0"/>
  </sheetViews>
  <sheetFormatPr defaultColWidth="11.6640625" defaultRowHeight="13.2" x14ac:dyDescent="0.25"/>
  <cols>
    <col min="1" max="1" width="11.6640625" style="11" customWidth="1"/>
    <col min="2" max="15" width="13.33203125" style="11" customWidth="1"/>
    <col min="16" max="16" width="48.6640625" style="11" customWidth="1"/>
    <col min="17" max="16384" width="11.6640625" style="11"/>
  </cols>
  <sheetData>
    <row r="1" spans="1:16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10"/>
    </row>
    <row r="2" spans="1:16" ht="15.6" x14ac:dyDescent="0.3">
      <c r="A2" s="9"/>
      <c r="B2" s="40" t="s">
        <v>79</v>
      </c>
      <c r="C2" s="41"/>
      <c r="D2" s="41"/>
      <c r="E2" s="41"/>
      <c r="F2" s="9"/>
      <c r="G2" s="9"/>
      <c r="H2" s="9"/>
      <c r="I2" s="9"/>
      <c r="J2" s="9"/>
      <c r="K2" s="9"/>
      <c r="L2" s="9"/>
      <c r="M2" s="10"/>
      <c r="N2" s="10"/>
      <c r="O2" s="10"/>
      <c r="P2" s="10"/>
    </row>
    <row r="3" spans="1:16" x14ac:dyDescent="0.25">
      <c r="A3" s="9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</row>
    <row r="4" spans="1:16" x14ac:dyDescent="0.25">
      <c r="A4" s="9"/>
      <c r="B4" s="9" t="s">
        <v>61</v>
      </c>
      <c r="C4" s="9"/>
      <c r="D4" s="9"/>
      <c r="E4" s="1">
        <v>5</v>
      </c>
      <c r="F4" s="9" t="s">
        <v>77</v>
      </c>
      <c r="G4" s="9"/>
      <c r="H4" s="9"/>
      <c r="I4" s="9"/>
      <c r="J4" s="9"/>
      <c r="K4" s="9"/>
      <c r="L4" s="9"/>
      <c r="M4" s="10"/>
      <c r="N4" s="10"/>
      <c r="O4" s="10"/>
      <c r="P4" s="10"/>
    </row>
    <row r="5" spans="1:16" x14ac:dyDescent="0.25">
      <c r="A5" s="9"/>
      <c r="B5" s="9" t="s">
        <v>0</v>
      </c>
      <c r="C5" s="9"/>
      <c r="D5" s="9"/>
      <c r="E5" s="1">
        <v>8</v>
      </c>
      <c r="F5" s="9" t="s">
        <v>78</v>
      </c>
      <c r="G5" s="9"/>
      <c r="H5" s="9"/>
      <c r="I5" s="9"/>
      <c r="J5" s="9"/>
      <c r="K5" s="9"/>
      <c r="L5" s="9"/>
      <c r="M5" s="10"/>
      <c r="N5" s="10"/>
      <c r="O5" s="10"/>
      <c r="P5" s="10"/>
    </row>
    <row r="6" spans="1:16" x14ac:dyDescent="0.25">
      <c r="A6" s="9"/>
      <c r="B6" s="9" t="s">
        <v>1</v>
      </c>
      <c r="C6" s="9"/>
      <c r="D6" s="9"/>
      <c r="E6" s="1">
        <v>400</v>
      </c>
      <c r="F6" s="9" t="s">
        <v>2</v>
      </c>
      <c r="G6" s="9"/>
      <c r="H6" s="9"/>
      <c r="I6" s="9"/>
      <c r="J6" s="9"/>
      <c r="K6" s="9"/>
      <c r="L6" s="9"/>
      <c r="M6" s="10"/>
      <c r="N6" s="10"/>
      <c r="O6" s="10"/>
      <c r="P6" s="10"/>
    </row>
    <row r="7" spans="1:16" x14ac:dyDescent="0.25">
      <c r="A7" s="9"/>
      <c r="B7" s="9" t="s">
        <v>3</v>
      </c>
      <c r="C7" s="9"/>
      <c r="D7" s="9"/>
      <c r="E7" s="1">
        <v>0.6</v>
      </c>
      <c r="F7" s="12" t="s">
        <v>89</v>
      </c>
      <c r="G7" s="9"/>
      <c r="H7" s="9"/>
      <c r="I7" s="9"/>
      <c r="J7" s="9"/>
      <c r="K7" s="9"/>
      <c r="L7" s="9"/>
      <c r="M7" s="10"/>
      <c r="N7" s="10"/>
      <c r="O7" s="10"/>
      <c r="P7" s="10"/>
    </row>
    <row r="8" spans="1:16" x14ac:dyDescent="0.25">
      <c r="A8" s="9"/>
      <c r="B8" s="9" t="s">
        <v>4</v>
      </c>
      <c r="C8" s="9"/>
      <c r="D8" s="9"/>
      <c r="E8" s="1">
        <v>0.9</v>
      </c>
      <c r="F8" s="9" t="s">
        <v>89</v>
      </c>
      <c r="G8" s="9"/>
      <c r="H8" s="9"/>
      <c r="I8" s="9"/>
      <c r="J8" s="9"/>
      <c r="K8" s="9"/>
      <c r="L8" s="9"/>
      <c r="M8" s="10"/>
      <c r="N8" s="10"/>
      <c r="O8" s="10"/>
      <c r="P8" s="10"/>
    </row>
    <row r="9" spans="1:16" x14ac:dyDescent="0.25">
      <c r="A9" s="9"/>
      <c r="B9" s="9" t="s">
        <v>5</v>
      </c>
      <c r="C9" s="9"/>
      <c r="D9" s="9"/>
      <c r="E9" s="1">
        <v>37.5</v>
      </c>
      <c r="F9" s="9" t="s">
        <v>90</v>
      </c>
      <c r="G9" s="9"/>
      <c r="H9" s="9"/>
      <c r="I9" s="9"/>
      <c r="J9" s="9"/>
      <c r="K9" s="9"/>
      <c r="L9" s="9"/>
      <c r="M9" s="10"/>
      <c r="N9" s="10"/>
      <c r="O9" s="10"/>
      <c r="P9" s="10"/>
    </row>
    <row r="10" spans="1:16" x14ac:dyDescent="0.25">
      <c r="A10" s="9"/>
      <c r="B10" s="9" t="s">
        <v>6</v>
      </c>
      <c r="C10" s="9"/>
      <c r="D10" s="9"/>
      <c r="E10" s="1">
        <v>30</v>
      </c>
      <c r="F10" s="9" t="s">
        <v>90</v>
      </c>
      <c r="G10" s="9"/>
      <c r="H10" s="9"/>
      <c r="I10" s="9"/>
      <c r="J10" s="9"/>
      <c r="K10" s="9"/>
      <c r="L10" s="9"/>
      <c r="M10" s="10"/>
      <c r="N10" s="10"/>
      <c r="O10" s="10"/>
      <c r="P10" s="10"/>
    </row>
    <row r="11" spans="1:16" x14ac:dyDescent="0.25">
      <c r="A11" s="9"/>
      <c r="B11" s="9" t="s">
        <v>64</v>
      </c>
      <c r="C11" s="9"/>
      <c r="D11" s="9"/>
      <c r="E11" s="1">
        <v>15.75</v>
      </c>
      <c r="F11" s="9" t="s">
        <v>91</v>
      </c>
      <c r="G11" s="9"/>
      <c r="H11" s="9"/>
      <c r="I11" s="9"/>
      <c r="J11" s="9"/>
      <c r="K11" s="9"/>
      <c r="L11" s="9"/>
      <c r="M11" s="10"/>
      <c r="N11" s="10"/>
      <c r="O11" s="10"/>
      <c r="P11" s="10"/>
    </row>
    <row r="12" spans="1:16" x14ac:dyDescent="0.25">
      <c r="A12" s="9"/>
      <c r="B12" s="9" t="s">
        <v>7</v>
      </c>
      <c r="C12" s="9"/>
      <c r="D12" s="9"/>
      <c r="E12" s="1">
        <v>15</v>
      </c>
      <c r="F12" s="9" t="s">
        <v>91</v>
      </c>
      <c r="G12" s="9"/>
      <c r="H12" s="9"/>
      <c r="I12" s="9"/>
      <c r="J12" s="9"/>
      <c r="K12" s="9"/>
      <c r="L12" s="9"/>
      <c r="M12" s="10"/>
      <c r="N12" s="10"/>
      <c r="O12" s="10"/>
      <c r="P12" s="10"/>
    </row>
    <row r="13" spans="1:16" x14ac:dyDescent="0.25">
      <c r="A13" s="9"/>
      <c r="B13" s="12" t="s">
        <v>65</v>
      </c>
      <c r="C13" s="9"/>
      <c r="D13" s="9"/>
      <c r="E13" s="7">
        <f>E11-E12</f>
        <v>0.75</v>
      </c>
      <c r="F13" s="9" t="s">
        <v>91</v>
      </c>
      <c r="G13" s="9"/>
      <c r="H13" s="9"/>
      <c r="I13" s="9"/>
      <c r="J13" s="9"/>
      <c r="K13" s="9"/>
      <c r="L13" s="9"/>
      <c r="M13" s="10"/>
      <c r="N13" s="10"/>
      <c r="O13" s="10"/>
      <c r="P13" s="10"/>
    </row>
    <row r="14" spans="1:16" x14ac:dyDescent="0.25">
      <c r="A14" s="9"/>
      <c r="B14" s="9" t="s">
        <v>8</v>
      </c>
      <c r="C14" s="9"/>
      <c r="D14" s="9"/>
      <c r="E14" s="1">
        <v>18</v>
      </c>
      <c r="F14" s="12" t="s">
        <v>63</v>
      </c>
      <c r="G14" s="9"/>
      <c r="H14" s="9"/>
      <c r="I14" s="9"/>
      <c r="J14" s="9"/>
      <c r="K14" s="9"/>
      <c r="L14" s="9"/>
      <c r="M14" s="10"/>
      <c r="N14" s="10"/>
      <c r="O14" s="10"/>
      <c r="P14" s="10"/>
    </row>
    <row r="15" spans="1:16" x14ac:dyDescent="0.25">
      <c r="A15" s="9"/>
      <c r="B15" s="9" t="s">
        <v>8</v>
      </c>
      <c r="C15" s="9"/>
      <c r="D15" s="9"/>
      <c r="E15" s="7">
        <f>E14/100*E12/12</f>
        <v>0.22499999999999998</v>
      </c>
      <c r="F15" s="9" t="s">
        <v>92</v>
      </c>
      <c r="G15" s="9"/>
      <c r="H15" s="9"/>
      <c r="I15" s="9"/>
      <c r="J15" s="9"/>
      <c r="K15" s="9"/>
      <c r="L15" s="9"/>
      <c r="M15" s="10"/>
      <c r="N15" s="10"/>
      <c r="O15" s="10"/>
      <c r="P15" s="10"/>
    </row>
    <row r="16" spans="1:16" x14ac:dyDescent="0.25">
      <c r="A16" s="9"/>
      <c r="B16" s="9" t="s">
        <v>9</v>
      </c>
      <c r="C16" s="9"/>
      <c r="D16" s="9"/>
      <c r="E16" s="1">
        <v>3</v>
      </c>
      <c r="F16" s="9" t="s">
        <v>91</v>
      </c>
      <c r="G16" s="9"/>
      <c r="H16" s="9"/>
      <c r="I16" s="9"/>
      <c r="J16" s="9"/>
      <c r="K16" s="9"/>
      <c r="L16" s="9"/>
      <c r="M16" s="10"/>
      <c r="N16" s="10"/>
      <c r="O16" s="10"/>
      <c r="P16" s="10"/>
    </row>
    <row r="17" spans="1:16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10"/>
      <c r="O17" s="10"/>
      <c r="P17" s="10"/>
    </row>
    <row r="18" spans="1:16" ht="15.6" x14ac:dyDescent="0.3">
      <c r="A18" s="9"/>
      <c r="B18" s="40" t="s">
        <v>85</v>
      </c>
      <c r="C18" s="41"/>
      <c r="D18" s="41"/>
      <c r="E18" s="41"/>
      <c r="F18" s="9"/>
      <c r="G18" s="9"/>
      <c r="H18" s="9"/>
      <c r="I18" s="9"/>
      <c r="J18" s="9"/>
      <c r="K18" s="9"/>
      <c r="L18" s="9"/>
      <c r="M18" s="10"/>
      <c r="N18" s="10"/>
      <c r="O18" s="10"/>
      <c r="P18" s="10"/>
    </row>
    <row r="19" spans="1:16" x14ac:dyDescent="0.25">
      <c r="A19" s="9"/>
      <c r="B19" s="13"/>
      <c r="C19" s="13"/>
      <c r="D19" s="13"/>
      <c r="E19" s="14"/>
      <c r="F19" s="9"/>
      <c r="G19" s="9"/>
      <c r="H19" s="9"/>
      <c r="I19" s="9"/>
      <c r="J19" s="9"/>
      <c r="K19" s="9"/>
      <c r="L19" s="9"/>
      <c r="M19" s="10"/>
      <c r="N19" s="10"/>
      <c r="O19" s="10"/>
      <c r="P19" s="10"/>
    </row>
    <row r="20" spans="1:16" x14ac:dyDescent="0.25">
      <c r="A20" s="9"/>
      <c r="B20" s="14"/>
      <c r="C20" s="15" t="s">
        <v>10</v>
      </c>
      <c r="D20" s="13"/>
      <c r="E20" s="14"/>
      <c r="F20" s="9"/>
      <c r="G20" s="9"/>
      <c r="H20" s="9"/>
      <c r="I20" s="9"/>
      <c r="J20" s="9"/>
      <c r="K20" s="9"/>
      <c r="L20" s="9"/>
      <c r="M20" s="10"/>
      <c r="N20" s="10"/>
      <c r="O20" s="10"/>
      <c r="P20" s="10"/>
    </row>
    <row r="21" spans="1:16" x14ac:dyDescent="0.25">
      <c r="A21" s="9"/>
      <c r="B21" s="15" t="s">
        <v>12</v>
      </c>
      <c r="C21" s="15" t="s">
        <v>13</v>
      </c>
      <c r="D21" s="10" t="s">
        <v>11</v>
      </c>
      <c r="E21" s="16" t="s">
        <v>14</v>
      </c>
      <c r="F21" s="9"/>
      <c r="G21" s="9"/>
      <c r="H21" s="16"/>
      <c r="I21" s="16"/>
      <c r="J21" s="16"/>
      <c r="K21" s="9"/>
      <c r="L21" s="9"/>
      <c r="M21" s="10"/>
      <c r="N21" s="10"/>
      <c r="O21" s="10"/>
      <c r="P21" s="10"/>
    </row>
    <row r="22" spans="1:16" x14ac:dyDescent="0.25">
      <c r="A22" s="9"/>
      <c r="B22" s="14"/>
      <c r="C22" s="10" t="s">
        <v>15</v>
      </c>
      <c r="D22" s="10" t="s">
        <v>16</v>
      </c>
      <c r="E22" s="16" t="s">
        <v>17</v>
      </c>
      <c r="F22" s="9"/>
      <c r="G22" s="9"/>
      <c r="H22" s="16"/>
      <c r="I22" s="16"/>
      <c r="J22" s="16"/>
      <c r="K22" s="9"/>
      <c r="L22" s="9"/>
      <c r="M22" s="10"/>
      <c r="N22" s="10"/>
      <c r="O22" s="10"/>
      <c r="P22" s="10"/>
    </row>
    <row r="23" spans="1:16" x14ac:dyDescent="0.25">
      <c r="A23" s="9"/>
      <c r="B23" s="14"/>
      <c r="C23" s="14"/>
      <c r="D23" s="14"/>
      <c r="E23" s="9"/>
      <c r="F23" s="9"/>
      <c r="G23" s="9"/>
      <c r="H23" s="16"/>
      <c r="I23" s="16"/>
      <c r="J23" s="16"/>
      <c r="K23" s="9"/>
      <c r="L23" s="9"/>
      <c r="M23" s="10"/>
      <c r="N23" s="10"/>
      <c r="O23" s="10"/>
      <c r="P23" s="10"/>
    </row>
    <row r="24" spans="1:16" x14ac:dyDescent="0.25">
      <c r="A24" s="9"/>
      <c r="B24" s="10" t="s">
        <v>18</v>
      </c>
      <c r="C24" s="1">
        <v>1800</v>
      </c>
      <c r="D24" s="1">
        <v>22</v>
      </c>
      <c r="E24" s="7">
        <f>C24</f>
        <v>1800</v>
      </c>
      <c r="F24" s="9"/>
      <c r="G24" s="9"/>
      <c r="H24" s="16"/>
      <c r="I24" s="16"/>
      <c r="J24" s="16"/>
      <c r="K24" s="9"/>
      <c r="L24" s="9"/>
      <c r="M24" s="10"/>
      <c r="N24" s="10"/>
      <c r="O24" s="10"/>
      <c r="P24" s="10"/>
    </row>
    <row r="25" spans="1:16" x14ac:dyDescent="0.25">
      <c r="A25" s="9"/>
      <c r="B25" s="10" t="s">
        <v>19</v>
      </c>
      <c r="C25" s="1">
        <v>1500</v>
      </c>
      <c r="D25" s="1">
        <v>19</v>
      </c>
      <c r="E25" s="7">
        <f>E24+C25</f>
        <v>3300</v>
      </c>
      <c r="F25" s="9"/>
      <c r="G25" s="9"/>
      <c r="H25" s="16"/>
      <c r="I25" s="16"/>
      <c r="J25" s="16"/>
      <c r="K25" s="9"/>
      <c r="L25" s="9"/>
      <c r="M25" s="10"/>
      <c r="N25" s="10"/>
      <c r="O25" s="10"/>
      <c r="P25" s="10"/>
    </row>
    <row r="26" spans="1:16" x14ac:dyDescent="0.25">
      <c r="A26" s="9"/>
      <c r="B26" s="10" t="s">
        <v>20</v>
      </c>
      <c r="C26" s="1">
        <v>1100</v>
      </c>
      <c r="D26" s="1">
        <v>21</v>
      </c>
      <c r="E26" s="7">
        <f>E25+C26</f>
        <v>4400</v>
      </c>
      <c r="F26" s="9"/>
      <c r="G26" s="9"/>
      <c r="H26" s="16"/>
      <c r="I26" s="16"/>
      <c r="J26" s="16"/>
      <c r="K26" s="9"/>
      <c r="L26" s="9"/>
      <c r="M26" s="10"/>
      <c r="N26" s="10"/>
      <c r="O26" s="10"/>
      <c r="P26" s="10"/>
    </row>
    <row r="27" spans="1:16" x14ac:dyDescent="0.25">
      <c r="A27" s="9"/>
      <c r="B27" s="10" t="s">
        <v>21</v>
      </c>
      <c r="C27" s="1">
        <v>900</v>
      </c>
      <c r="D27" s="1">
        <v>21</v>
      </c>
      <c r="E27" s="7">
        <f>E26+C27</f>
        <v>5300</v>
      </c>
      <c r="F27" s="9"/>
      <c r="G27" s="9"/>
      <c r="H27" s="16"/>
      <c r="I27" s="16"/>
      <c r="J27" s="16"/>
      <c r="K27" s="9"/>
      <c r="L27" s="9"/>
      <c r="M27" s="10"/>
      <c r="N27" s="10"/>
      <c r="O27" s="10"/>
      <c r="P27" s="10"/>
    </row>
    <row r="28" spans="1:16" x14ac:dyDescent="0.25">
      <c r="A28" s="9"/>
      <c r="B28" s="10" t="s">
        <v>22</v>
      </c>
      <c r="C28" s="1">
        <v>1100</v>
      </c>
      <c r="D28" s="1">
        <v>22</v>
      </c>
      <c r="E28" s="7">
        <f>E27+C28</f>
        <v>6400</v>
      </c>
      <c r="F28" s="9"/>
      <c r="G28" s="9"/>
      <c r="H28" s="16"/>
      <c r="I28" s="16"/>
      <c r="J28" s="16"/>
      <c r="K28" s="9"/>
      <c r="L28" s="9"/>
      <c r="M28" s="10"/>
      <c r="N28" s="10"/>
      <c r="O28" s="10"/>
      <c r="P28" s="10"/>
    </row>
    <row r="29" spans="1:16" x14ac:dyDescent="0.25">
      <c r="A29" s="9"/>
      <c r="B29" s="10" t="s">
        <v>23</v>
      </c>
      <c r="C29" s="1">
        <v>1600</v>
      </c>
      <c r="D29" s="1">
        <v>20</v>
      </c>
      <c r="E29" s="7">
        <f>E28+C29</f>
        <v>8000</v>
      </c>
      <c r="F29" s="9"/>
      <c r="G29" s="9"/>
      <c r="H29" s="16"/>
      <c r="I29" s="16"/>
      <c r="J29" s="16"/>
      <c r="K29" s="9"/>
      <c r="L29" s="9"/>
      <c r="M29" s="10"/>
      <c r="N29" s="10"/>
      <c r="O29" s="10"/>
      <c r="P29" s="10"/>
    </row>
    <row r="30" spans="1:16" x14ac:dyDescent="0.25">
      <c r="A30" s="9"/>
      <c r="B30" s="14"/>
      <c r="C30" s="14"/>
      <c r="D30" s="14"/>
      <c r="E30" s="14"/>
      <c r="F30" s="9"/>
      <c r="G30" s="16"/>
      <c r="H30" s="16"/>
      <c r="I30" s="16"/>
      <c r="J30" s="16"/>
      <c r="K30" s="9"/>
      <c r="L30" s="9"/>
      <c r="M30" s="10"/>
      <c r="N30" s="10"/>
      <c r="O30" s="10"/>
      <c r="P30" s="10"/>
    </row>
    <row r="31" spans="1:16" x14ac:dyDescent="0.25">
      <c r="A31" s="9"/>
      <c r="B31" s="14"/>
      <c r="C31" s="7">
        <f>SUM(C24:C29)</f>
        <v>8000</v>
      </c>
      <c r="D31" s="7">
        <f>SUM(D24:D29)</f>
        <v>125</v>
      </c>
      <c r="E31" s="14"/>
      <c r="F31" s="9"/>
      <c r="G31" s="16"/>
      <c r="H31" s="16"/>
      <c r="I31" s="16"/>
      <c r="J31" s="16"/>
      <c r="K31" s="9"/>
      <c r="L31" s="9"/>
      <c r="M31" s="10"/>
      <c r="N31" s="10"/>
      <c r="O31" s="10"/>
      <c r="P31" s="10"/>
    </row>
    <row r="32" spans="1:16" x14ac:dyDescent="0.25">
      <c r="A32" s="9"/>
      <c r="B32" s="14"/>
      <c r="C32" s="14"/>
      <c r="D32" s="14"/>
      <c r="E32" s="14"/>
      <c r="F32" s="9"/>
      <c r="G32" s="16"/>
      <c r="H32" s="16"/>
      <c r="I32" s="16"/>
      <c r="J32" s="16"/>
      <c r="K32" s="9"/>
      <c r="L32" s="9"/>
      <c r="M32" s="10"/>
      <c r="N32" s="10"/>
      <c r="O32" s="10"/>
      <c r="P32" s="10"/>
    </row>
    <row r="33" spans="1:16" x14ac:dyDescent="0.25">
      <c r="A33" s="9"/>
      <c r="B33" s="14"/>
      <c r="C33" s="14"/>
      <c r="D33" s="17" t="s">
        <v>84</v>
      </c>
      <c r="E33" s="1">
        <v>0.25</v>
      </c>
      <c r="F33" s="9" t="s">
        <v>83</v>
      </c>
      <c r="G33" s="16"/>
      <c r="H33" s="16"/>
      <c r="I33" s="16"/>
      <c r="J33" s="16"/>
      <c r="K33" s="9"/>
      <c r="L33" s="9"/>
      <c r="M33" s="10"/>
      <c r="N33" s="10"/>
      <c r="O33" s="10"/>
      <c r="P33" s="10"/>
    </row>
    <row r="34" spans="1:16" x14ac:dyDescent="0.25">
      <c r="A34" s="9"/>
      <c r="B34" s="9"/>
      <c r="C34" s="9"/>
      <c r="D34" s="9"/>
      <c r="E34" s="9"/>
      <c r="F34" s="9"/>
      <c r="G34" s="16"/>
      <c r="H34" s="16"/>
      <c r="I34" s="16"/>
      <c r="J34" s="16"/>
      <c r="K34" s="9"/>
      <c r="L34" s="9"/>
      <c r="M34" s="10"/>
      <c r="N34" s="10"/>
      <c r="O34" s="10"/>
      <c r="P34" s="10"/>
    </row>
    <row r="35" spans="1:16" ht="15.6" x14ac:dyDescent="0.3">
      <c r="A35" s="9"/>
      <c r="B35" s="40" t="s">
        <v>81</v>
      </c>
      <c r="C35" s="41"/>
      <c r="D35" s="41"/>
      <c r="E35" s="41"/>
      <c r="F35" s="41"/>
      <c r="G35" s="16"/>
      <c r="H35" s="16"/>
      <c r="I35" s="16"/>
      <c r="J35" s="16"/>
      <c r="K35" s="9"/>
      <c r="L35" s="9"/>
      <c r="M35" s="10"/>
      <c r="N35" s="10"/>
      <c r="O35" s="10"/>
      <c r="P35" s="10"/>
    </row>
    <row r="36" spans="1:16" x14ac:dyDescent="0.25">
      <c r="A36" s="18"/>
      <c r="B36" s="9"/>
      <c r="C36" s="9"/>
      <c r="D36" s="9"/>
      <c r="E36" s="9"/>
      <c r="F36" s="9"/>
      <c r="G36" s="9"/>
      <c r="H36" s="16"/>
      <c r="I36" s="16"/>
      <c r="J36" s="16"/>
      <c r="K36" s="9"/>
      <c r="L36" s="9"/>
      <c r="M36" s="10"/>
      <c r="N36" s="10"/>
      <c r="O36" s="10"/>
      <c r="P36" s="10"/>
    </row>
    <row r="37" spans="1:16" x14ac:dyDescent="0.25">
      <c r="A37" s="10"/>
      <c r="B37" s="10" t="s">
        <v>24</v>
      </c>
      <c r="C37" s="10" t="s">
        <v>10</v>
      </c>
      <c r="D37" s="10" t="s">
        <v>24</v>
      </c>
      <c r="E37" s="10" t="s">
        <v>25</v>
      </c>
      <c r="F37" s="10" t="s">
        <v>24</v>
      </c>
      <c r="G37" s="9"/>
      <c r="H37" s="16"/>
      <c r="I37" s="16"/>
      <c r="J37" s="16"/>
      <c r="K37" s="9"/>
      <c r="L37" s="9"/>
      <c r="M37" s="10"/>
      <c r="N37" s="10"/>
      <c r="O37" s="10"/>
      <c r="P37" s="10"/>
    </row>
    <row r="38" spans="1:16" x14ac:dyDescent="0.25">
      <c r="A38" s="10" t="s">
        <v>12</v>
      </c>
      <c r="B38" s="10" t="s">
        <v>26</v>
      </c>
      <c r="C38" s="10" t="s">
        <v>27</v>
      </c>
      <c r="D38" s="10" t="s">
        <v>28</v>
      </c>
      <c r="E38" s="10" t="s">
        <v>29</v>
      </c>
      <c r="F38" s="10" t="s">
        <v>30</v>
      </c>
      <c r="G38" s="9"/>
      <c r="H38" s="16"/>
      <c r="I38" s="16"/>
      <c r="J38" s="16"/>
      <c r="K38" s="9"/>
      <c r="L38" s="9"/>
      <c r="M38" s="10"/>
      <c r="N38" s="10"/>
      <c r="O38" s="10"/>
      <c r="P38" s="10"/>
    </row>
    <row r="39" spans="1:16" x14ac:dyDescent="0.25">
      <c r="A39" s="10"/>
      <c r="B39" s="10" t="s">
        <v>31</v>
      </c>
      <c r="C39" s="10" t="s">
        <v>15</v>
      </c>
      <c r="D39" s="10" t="s">
        <v>31</v>
      </c>
      <c r="E39" s="10" t="s">
        <v>15</v>
      </c>
      <c r="F39" s="10" t="s">
        <v>31</v>
      </c>
      <c r="G39" s="9"/>
      <c r="H39" s="16"/>
      <c r="I39" s="16"/>
      <c r="J39" s="16"/>
      <c r="K39" s="9"/>
      <c r="L39" s="9"/>
      <c r="M39" s="10"/>
      <c r="N39" s="10"/>
      <c r="O39" s="10"/>
      <c r="P39" s="10"/>
    </row>
    <row r="40" spans="1:16" x14ac:dyDescent="0.25">
      <c r="A40" s="10"/>
      <c r="B40" s="10"/>
      <c r="C40" s="9"/>
      <c r="D40" s="9"/>
      <c r="E40" s="9"/>
      <c r="F40" s="9"/>
      <c r="G40" s="9"/>
      <c r="H40" s="16"/>
      <c r="I40" s="16"/>
      <c r="J40" s="16"/>
      <c r="K40" s="9"/>
      <c r="L40" s="9"/>
      <c r="M40" s="10"/>
      <c r="N40" s="10"/>
      <c r="O40" s="10"/>
      <c r="P40" s="10"/>
    </row>
    <row r="41" spans="1:16" x14ac:dyDescent="0.25">
      <c r="A41" s="10" t="s">
        <v>18</v>
      </c>
      <c r="B41" s="7">
        <f>E6</f>
        <v>400</v>
      </c>
      <c r="C41" s="7">
        <f t="shared" ref="C41:C46" si="0">C24</f>
        <v>1800</v>
      </c>
      <c r="D41" s="7">
        <f t="shared" ref="D41:D46" si="1">$E$33*C41</f>
        <v>450</v>
      </c>
      <c r="E41" s="7">
        <f t="shared" ref="E41:E46" si="2">C41+D41-B41</f>
        <v>1850</v>
      </c>
      <c r="F41" s="7">
        <f t="shared" ref="F41:F46" si="3">B41+E41-C41</f>
        <v>450</v>
      </c>
      <c r="G41" s="9"/>
      <c r="H41" s="16"/>
      <c r="I41" s="16"/>
      <c r="J41" s="16"/>
      <c r="K41" s="9"/>
      <c r="L41" s="9"/>
      <c r="M41" s="10"/>
      <c r="N41" s="10"/>
      <c r="O41" s="10"/>
      <c r="P41" s="10"/>
    </row>
    <row r="42" spans="1:16" x14ac:dyDescent="0.25">
      <c r="A42" s="10" t="s">
        <v>19</v>
      </c>
      <c r="B42" s="7">
        <f>F41</f>
        <v>450</v>
      </c>
      <c r="C42" s="7">
        <f t="shared" si="0"/>
        <v>1500</v>
      </c>
      <c r="D42" s="7">
        <f t="shared" si="1"/>
        <v>375</v>
      </c>
      <c r="E42" s="7">
        <f t="shared" si="2"/>
        <v>1425</v>
      </c>
      <c r="F42" s="7">
        <f t="shared" si="3"/>
        <v>375</v>
      </c>
      <c r="G42" s="9"/>
      <c r="H42" s="16"/>
      <c r="I42" s="16"/>
      <c r="J42" s="16"/>
      <c r="K42" s="9"/>
      <c r="L42" s="9"/>
      <c r="M42" s="10"/>
      <c r="N42" s="10"/>
      <c r="O42" s="10"/>
      <c r="P42" s="10"/>
    </row>
    <row r="43" spans="1:16" x14ac:dyDescent="0.25">
      <c r="A43" s="10" t="s">
        <v>20</v>
      </c>
      <c r="B43" s="7">
        <f>F42</f>
        <v>375</v>
      </c>
      <c r="C43" s="7">
        <f t="shared" si="0"/>
        <v>1100</v>
      </c>
      <c r="D43" s="7">
        <f t="shared" si="1"/>
        <v>275</v>
      </c>
      <c r="E43" s="7">
        <f t="shared" si="2"/>
        <v>1000</v>
      </c>
      <c r="F43" s="7">
        <f t="shared" si="3"/>
        <v>275</v>
      </c>
      <c r="G43" s="9"/>
      <c r="H43" s="16"/>
      <c r="I43" s="16"/>
      <c r="J43" s="16"/>
      <c r="K43" s="9"/>
      <c r="L43" s="9"/>
      <c r="M43" s="10"/>
      <c r="N43" s="10"/>
      <c r="O43" s="10"/>
      <c r="P43" s="10"/>
    </row>
    <row r="44" spans="1:16" x14ac:dyDescent="0.25">
      <c r="A44" s="10" t="s">
        <v>21</v>
      </c>
      <c r="B44" s="7">
        <f>F43</f>
        <v>275</v>
      </c>
      <c r="C44" s="7">
        <f t="shared" si="0"/>
        <v>900</v>
      </c>
      <c r="D44" s="7">
        <f t="shared" si="1"/>
        <v>225</v>
      </c>
      <c r="E44" s="7">
        <f t="shared" si="2"/>
        <v>850</v>
      </c>
      <c r="F44" s="7">
        <f t="shared" si="3"/>
        <v>225</v>
      </c>
      <c r="G44" s="9"/>
      <c r="H44" s="16"/>
      <c r="I44" s="16"/>
      <c r="J44" s="16"/>
      <c r="K44" s="9"/>
      <c r="L44" s="9"/>
      <c r="M44" s="10"/>
      <c r="N44" s="10"/>
      <c r="O44" s="10"/>
      <c r="P44" s="10"/>
    </row>
    <row r="45" spans="1:16" x14ac:dyDescent="0.25">
      <c r="A45" s="10" t="s">
        <v>22</v>
      </c>
      <c r="B45" s="7">
        <f>F44</f>
        <v>225</v>
      </c>
      <c r="C45" s="7">
        <f t="shared" si="0"/>
        <v>1100</v>
      </c>
      <c r="D45" s="7">
        <f t="shared" si="1"/>
        <v>275</v>
      </c>
      <c r="E45" s="7">
        <f t="shared" si="2"/>
        <v>1150</v>
      </c>
      <c r="F45" s="7">
        <f t="shared" si="3"/>
        <v>275</v>
      </c>
      <c r="G45" s="9"/>
      <c r="H45" s="16"/>
      <c r="I45" s="16"/>
      <c r="J45" s="16"/>
      <c r="K45" s="9"/>
      <c r="L45" s="9"/>
      <c r="M45" s="10"/>
      <c r="N45" s="10"/>
      <c r="O45" s="10"/>
      <c r="P45" s="10"/>
    </row>
    <row r="46" spans="1:16" x14ac:dyDescent="0.25">
      <c r="A46" s="10" t="s">
        <v>23</v>
      </c>
      <c r="B46" s="7">
        <f>F45</f>
        <v>275</v>
      </c>
      <c r="C46" s="7">
        <f t="shared" si="0"/>
        <v>1600</v>
      </c>
      <c r="D46" s="7">
        <f t="shared" si="1"/>
        <v>400</v>
      </c>
      <c r="E46" s="7">
        <f t="shared" si="2"/>
        <v>1725</v>
      </c>
      <c r="F46" s="7">
        <f t="shared" si="3"/>
        <v>400</v>
      </c>
      <c r="G46" s="9"/>
      <c r="H46" s="16"/>
      <c r="I46" s="16"/>
      <c r="J46" s="16"/>
      <c r="K46" s="9"/>
      <c r="L46" s="9"/>
      <c r="M46" s="10"/>
      <c r="N46" s="10"/>
      <c r="O46" s="10"/>
      <c r="P46" s="10"/>
    </row>
    <row r="47" spans="1:16" x14ac:dyDescent="0.25">
      <c r="A47" s="10"/>
      <c r="B47" s="10"/>
      <c r="C47" s="9"/>
      <c r="D47" s="9"/>
      <c r="E47" s="9"/>
      <c r="F47" s="9"/>
      <c r="G47" s="9"/>
      <c r="H47" s="16"/>
      <c r="I47" s="16"/>
      <c r="J47" s="16"/>
      <c r="K47" s="9"/>
      <c r="L47" s="9"/>
      <c r="M47" s="10"/>
      <c r="N47" s="10"/>
      <c r="O47" s="10"/>
      <c r="P47" s="10"/>
    </row>
    <row r="48" spans="1:16" x14ac:dyDescent="0.25">
      <c r="A48" s="16"/>
      <c r="B48" s="16"/>
      <c r="C48" s="7">
        <f>SUM(C41:C46)</f>
        <v>8000</v>
      </c>
      <c r="D48" s="9"/>
      <c r="E48" s="7">
        <f>SUM(E41:E46)</f>
        <v>8000</v>
      </c>
      <c r="F48" s="9"/>
      <c r="G48" s="9"/>
      <c r="H48" s="16"/>
      <c r="I48" s="16"/>
      <c r="J48" s="16"/>
      <c r="K48" s="9"/>
      <c r="L48" s="9"/>
      <c r="M48" s="10"/>
      <c r="N48" s="10"/>
      <c r="O48" s="10"/>
      <c r="P48" s="10"/>
    </row>
    <row r="49" spans="1:20" x14ac:dyDescent="0.25">
      <c r="A49" s="9"/>
      <c r="B49" s="9"/>
      <c r="C49" s="9"/>
      <c r="D49" s="9"/>
      <c r="E49" s="9"/>
      <c r="F49" s="9"/>
      <c r="G49" s="9"/>
      <c r="H49" s="16"/>
      <c r="I49" s="16"/>
      <c r="J49" s="16"/>
      <c r="K49" s="9"/>
      <c r="L49" s="9"/>
      <c r="M49" s="10"/>
      <c r="N49" s="10"/>
      <c r="O49" s="10"/>
      <c r="P49" s="10"/>
    </row>
    <row r="50" spans="1:20" x14ac:dyDescent="0.25">
      <c r="A50" s="9"/>
      <c r="B50" s="19"/>
      <c r="C50" s="13"/>
      <c r="D50" s="9"/>
      <c r="E50" s="9"/>
      <c r="F50" s="9"/>
      <c r="G50" s="9"/>
      <c r="H50" s="16"/>
      <c r="I50" s="16"/>
      <c r="J50" s="16"/>
      <c r="K50" s="9"/>
      <c r="L50" s="9"/>
      <c r="M50" s="10"/>
      <c r="N50" s="10"/>
      <c r="O50" s="10"/>
      <c r="P50" s="10"/>
    </row>
    <row r="51" spans="1:20" ht="15.6" x14ac:dyDescent="0.3">
      <c r="A51" s="16" t="s">
        <v>32</v>
      </c>
      <c r="B51" s="8">
        <f>C116</f>
        <v>25853</v>
      </c>
      <c r="C51" s="9" t="s">
        <v>93</v>
      </c>
      <c r="D51" s="40" t="s">
        <v>82</v>
      </c>
      <c r="E51" s="41"/>
      <c r="F51" s="41"/>
      <c r="G51" s="41"/>
      <c r="H51" s="16"/>
      <c r="I51" s="16"/>
      <c r="J51" s="16"/>
      <c r="K51" s="9"/>
      <c r="L51" s="9"/>
      <c r="M51" s="10"/>
      <c r="N51" s="10"/>
      <c r="O51" s="10"/>
      <c r="P51" s="10"/>
    </row>
    <row r="52" spans="1:20" x14ac:dyDescent="0.25">
      <c r="A52" s="9"/>
      <c r="B52" s="9"/>
      <c r="C52" s="9"/>
      <c r="D52" s="9"/>
      <c r="E52" s="9"/>
      <c r="F52" s="9"/>
      <c r="G52" s="9"/>
      <c r="H52" s="16"/>
      <c r="I52" s="16"/>
      <c r="J52" s="16"/>
      <c r="K52" s="9"/>
      <c r="L52" s="9"/>
      <c r="M52" s="10"/>
      <c r="N52" s="10"/>
      <c r="O52" s="10"/>
      <c r="P52" s="10"/>
    </row>
    <row r="53" spans="1:2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0"/>
      <c r="N53" s="10"/>
      <c r="O53" s="10"/>
      <c r="P53" s="10"/>
    </row>
    <row r="54" spans="1:20" x14ac:dyDescent="0.25">
      <c r="A54" s="10"/>
      <c r="B54" s="10" t="s">
        <v>25</v>
      </c>
      <c r="C54" s="10" t="s">
        <v>33</v>
      </c>
      <c r="D54" s="36" t="s">
        <v>99</v>
      </c>
      <c r="E54" s="10" t="s">
        <v>33</v>
      </c>
      <c r="F54" s="36" t="s">
        <v>99</v>
      </c>
      <c r="G54" s="36" t="s">
        <v>99</v>
      </c>
      <c r="H54" s="35" t="s">
        <v>101</v>
      </c>
      <c r="I54" s="36" t="s">
        <v>99</v>
      </c>
      <c r="J54" s="35" t="s">
        <v>101</v>
      </c>
      <c r="K54" s="10" t="s">
        <v>34</v>
      </c>
      <c r="L54" s="10" t="s">
        <v>25</v>
      </c>
      <c r="M54" s="10"/>
      <c r="N54" s="10"/>
      <c r="O54" s="10"/>
      <c r="P54" s="10"/>
    </row>
    <row r="55" spans="1:20" x14ac:dyDescent="0.25">
      <c r="A55" s="10" t="s">
        <v>12</v>
      </c>
      <c r="B55" s="10" t="s">
        <v>29</v>
      </c>
      <c r="C55" s="15" t="s">
        <v>66</v>
      </c>
      <c r="D55" s="35" t="s">
        <v>102</v>
      </c>
      <c r="E55" s="34" t="s">
        <v>97</v>
      </c>
      <c r="F55" s="34" t="s">
        <v>100</v>
      </c>
      <c r="G55" s="34" t="s">
        <v>100</v>
      </c>
      <c r="H55" s="10" t="s">
        <v>35</v>
      </c>
      <c r="I55" s="34" t="s">
        <v>100</v>
      </c>
      <c r="J55" s="10" t="s">
        <v>36</v>
      </c>
      <c r="K55" s="10" t="s">
        <v>69</v>
      </c>
      <c r="L55" s="10" t="s">
        <v>37</v>
      </c>
      <c r="M55" s="10"/>
      <c r="N55" s="10"/>
      <c r="O55" s="10"/>
      <c r="P55" s="10"/>
    </row>
    <row r="56" spans="1:20" x14ac:dyDescent="0.25">
      <c r="A56" s="10"/>
      <c r="B56" s="10"/>
      <c r="C56" s="10"/>
      <c r="D56" s="10"/>
      <c r="E56" s="35" t="s">
        <v>98</v>
      </c>
      <c r="F56" s="15" t="s">
        <v>71</v>
      </c>
      <c r="G56" s="35" t="s">
        <v>67</v>
      </c>
      <c r="H56" s="35" t="s">
        <v>100</v>
      </c>
      <c r="I56" s="35" t="s">
        <v>68</v>
      </c>
      <c r="J56" s="35" t="s">
        <v>100</v>
      </c>
      <c r="K56" s="10"/>
      <c r="L56" s="10"/>
      <c r="M56" s="10"/>
      <c r="N56" s="10"/>
      <c r="O56" s="10"/>
      <c r="P56" s="10"/>
    </row>
    <row r="57" spans="1:20" x14ac:dyDescent="0.25">
      <c r="A57" s="10" t="s">
        <v>18</v>
      </c>
      <c r="B57" s="7">
        <f t="shared" ref="B57:B62" si="4">E41</f>
        <v>1850</v>
      </c>
      <c r="C57" s="7">
        <f t="shared" ref="C57:C62" si="5">B57*$E$4</f>
        <v>9250</v>
      </c>
      <c r="D57" s="7">
        <f t="shared" ref="D57:D62" si="6">D24</f>
        <v>22</v>
      </c>
      <c r="E57" s="7">
        <f t="shared" ref="E57:E62" si="7">D57*$E$5</f>
        <v>176</v>
      </c>
      <c r="F57" s="7">
        <f t="shared" ref="F57:F62" si="8">ROUNDUP(C57/E57,0)</f>
        <v>53</v>
      </c>
      <c r="G57" s="7">
        <v>0</v>
      </c>
      <c r="H57" s="7">
        <f t="shared" ref="H57:H62" si="9">G57*E$10</f>
        <v>0</v>
      </c>
      <c r="I57" s="7">
        <v>0</v>
      </c>
      <c r="J57" s="7">
        <f t="shared" ref="J57:J62" si="10">I57*E$9</f>
        <v>0</v>
      </c>
      <c r="K57" s="7">
        <f t="shared" ref="K57:K62" si="11">C57*E$7</f>
        <v>5550</v>
      </c>
      <c r="L57" s="7">
        <f>B57</f>
        <v>1850</v>
      </c>
      <c r="M57" s="10"/>
      <c r="N57" s="10"/>
      <c r="O57" s="10"/>
      <c r="P57" s="10"/>
    </row>
    <row r="58" spans="1:20" x14ac:dyDescent="0.25">
      <c r="A58" s="10" t="s">
        <v>19</v>
      </c>
      <c r="B58" s="7">
        <f t="shared" si="4"/>
        <v>1425</v>
      </c>
      <c r="C58" s="7">
        <f t="shared" si="5"/>
        <v>7125</v>
      </c>
      <c r="D58" s="7">
        <f t="shared" si="6"/>
        <v>19</v>
      </c>
      <c r="E58" s="7">
        <f t="shared" si="7"/>
        <v>152</v>
      </c>
      <c r="F58" s="7">
        <f t="shared" si="8"/>
        <v>47</v>
      </c>
      <c r="G58" s="7">
        <f>IF(F58&gt;F57,F58-F57,0)</f>
        <v>0</v>
      </c>
      <c r="H58" s="7">
        <f t="shared" si="9"/>
        <v>0</v>
      </c>
      <c r="I58" s="7">
        <f>IF(F58&lt;F57,F57-F58,0)</f>
        <v>6</v>
      </c>
      <c r="J58" s="7">
        <f t="shared" si="10"/>
        <v>225</v>
      </c>
      <c r="K58" s="7">
        <f t="shared" si="11"/>
        <v>4275</v>
      </c>
      <c r="L58" s="7">
        <f>L57+B58</f>
        <v>3275</v>
      </c>
      <c r="M58" s="10"/>
      <c r="N58" s="10"/>
      <c r="O58" s="10"/>
      <c r="P58" s="10"/>
    </row>
    <row r="59" spans="1:20" x14ac:dyDescent="0.25">
      <c r="A59" s="10" t="s">
        <v>20</v>
      </c>
      <c r="B59" s="7">
        <f t="shared" si="4"/>
        <v>1000</v>
      </c>
      <c r="C59" s="7">
        <f t="shared" si="5"/>
        <v>5000</v>
      </c>
      <c r="D59" s="7">
        <f t="shared" si="6"/>
        <v>21</v>
      </c>
      <c r="E59" s="7">
        <f t="shared" si="7"/>
        <v>168</v>
      </c>
      <c r="F59" s="7">
        <f t="shared" si="8"/>
        <v>30</v>
      </c>
      <c r="G59" s="7">
        <f>IF(F59&gt;F58,F59-F58,0)</f>
        <v>0</v>
      </c>
      <c r="H59" s="7">
        <f t="shared" si="9"/>
        <v>0</v>
      </c>
      <c r="I59" s="7">
        <f>IF(F59&lt;F58,F58-F59,0)</f>
        <v>17</v>
      </c>
      <c r="J59" s="7">
        <f t="shared" si="10"/>
        <v>637.5</v>
      </c>
      <c r="K59" s="7">
        <f t="shared" si="11"/>
        <v>3000</v>
      </c>
      <c r="L59" s="7">
        <f>L58+B59</f>
        <v>4275</v>
      </c>
      <c r="M59" s="10"/>
      <c r="N59" s="10"/>
      <c r="O59" s="10"/>
      <c r="P59" s="10"/>
      <c r="Q59" s="20"/>
      <c r="R59" s="20"/>
    </row>
    <row r="60" spans="1:20" x14ac:dyDescent="0.25">
      <c r="A60" s="10" t="s">
        <v>21</v>
      </c>
      <c r="B60" s="7">
        <f t="shared" si="4"/>
        <v>850</v>
      </c>
      <c r="C60" s="7">
        <f t="shared" si="5"/>
        <v>4250</v>
      </c>
      <c r="D60" s="7">
        <f t="shared" si="6"/>
        <v>21</v>
      </c>
      <c r="E60" s="7">
        <f t="shared" si="7"/>
        <v>168</v>
      </c>
      <c r="F60" s="7">
        <f t="shared" si="8"/>
        <v>26</v>
      </c>
      <c r="G60" s="7">
        <f>IF(F60&gt;F59,F60-F59,0)</f>
        <v>0</v>
      </c>
      <c r="H60" s="7">
        <f t="shared" si="9"/>
        <v>0</v>
      </c>
      <c r="I60" s="7">
        <f>IF(F60&lt;F59,F59-F60,0)</f>
        <v>4</v>
      </c>
      <c r="J60" s="7">
        <f t="shared" si="10"/>
        <v>150</v>
      </c>
      <c r="K60" s="7">
        <f t="shared" si="11"/>
        <v>2550</v>
      </c>
      <c r="L60" s="7">
        <f>L59+B60</f>
        <v>5125</v>
      </c>
      <c r="M60" s="10"/>
      <c r="N60" s="10"/>
      <c r="O60" s="10"/>
      <c r="P60" s="10"/>
      <c r="Q60" s="20"/>
      <c r="R60" s="20"/>
    </row>
    <row r="61" spans="1:20" x14ac:dyDescent="0.25">
      <c r="A61" s="10" t="s">
        <v>22</v>
      </c>
      <c r="B61" s="7">
        <f t="shared" si="4"/>
        <v>1150</v>
      </c>
      <c r="C61" s="7">
        <f t="shared" si="5"/>
        <v>5750</v>
      </c>
      <c r="D61" s="7">
        <f t="shared" si="6"/>
        <v>22</v>
      </c>
      <c r="E61" s="7">
        <f t="shared" si="7"/>
        <v>176</v>
      </c>
      <c r="F61" s="7">
        <f t="shared" si="8"/>
        <v>33</v>
      </c>
      <c r="G61" s="7">
        <f>IF(F61&gt;F60,F61-F60,0)</f>
        <v>7</v>
      </c>
      <c r="H61" s="7">
        <f t="shared" si="9"/>
        <v>210</v>
      </c>
      <c r="I61" s="7">
        <f>IF(F61&lt;F60,F60-F61,0)</f>
        <v>0</v>
      </c>
      <c r="J61" s="7">
        <f t="shared" si="10"/>
        <v>0</v>
      </c>
      <c r="K61" s="7">
        <f t="shared" si="11"/>
        <v>3450</v>
      </c>
      <c r="L61" s="7">
        <f>L60+B61</f>
        <v>6275</v>
      </c>
      <c r="M61" s="10"/>
      <c r="N61" s="10"/>
      <c r="O61" s="10"/>
      <c r="P61" s="10"/>
      <c r="Q61" s="20"/>
      <c r="R61" s="20"/>
    </row>
    <row r="62" spans="1:20" x14ac:dyDescent="0.25">
      <c r="A62" s="10" t="s">
        <v>23</v>
      </c>
      <c r="B62" s="7">
        <f t="shared" si="4"/>
        <v>1725</v>
      </c>
      <c r="C62" s="7">
        <f t="shared" si="5"/>
        <v>8625</v>
      </c>
      <c r="D62" s="7">
        <f t="shared" si="6"/>
        <v>20</v>
      </c>
      <c r="E62" s="7">
        <f t="shared" si="7"/>
        <v>160</v>
      </c>
      <c r="F62" s="7">
        <f t="shared" si="8"/>
        <v>54</v>
      </c>
      <c r="G62" s="7">
        <f>IF(F62&gt;F61,F62-F61,0)</f>
        <v>21</v>
      </c>
      <c r="H62" s="7">
        <f t="shared" si="9"/>
        <v>630</v>
      </c>
      <c r="I62" s="7">
        <f>IF(F62&lt;F61,F61-F62,0)</f>
        <v>0</v>
      </c>
      <c r="J62" s="7">
        <f t="shared" si="10"/>
        <v>0</v>
      </c>
      <c r="K62" s="7">
        <f t="shared" si="11"/>
        <v>5175</v>
      </c>
      <c r="L62" s="7">
        <f>L61+B62</f>
        <v>8000</v>
      </c>
      <c r="M62" s="10"/>
      <c r="N62" s="10"/>
      <c r="O62" s="10"/>
      <c r="P62" s="10"/>
    </row>
    <row r="63" spans="1:20" x14ac:dyDescent="0.25">
      <c r="A63" s="10"/>
      <c r="B63" s="10"/>
      <c r="C63" s="10"/>
      <c r="D63" s="10"/>
      <c r="E63" s="10"/>
      <c r="F63" s="10"/>
      <c r="G63" s="10"/>
      <c r="H63" s="21">
        <f>SUM(H57:H62)</f>
        <v>840</v>
      </c>
      <c r="I63" s="10"/>
      <c r="J63" s="21">
        <f>SUM(J57:J62)</f>
        <v>1012.5</v>
      </c>
      <c r="K63" s="21">
        <f>SUM(K57:K62)</f>
        <v>24000</v>
      </c>
      <c r="L63" s="10"/>
      <c r="M63" s="10"/>
      <c r="N63" s="10"/>
      <c r="O63" s="10"/>
      <c r="P63" s="10"/>
    </row>
    <row r="64" spans="1:20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S64" s="20"/>
      <c r="T64" s="20"/>
    </row>
    <row r="65" spans="1:37" ht="15.6" x14ac:dyDescent="0.3">
      <c r="A65" s="10" t="s">
        <v>32</v>
      </c>
      <c r="B65" s="8">
        <f>D116</f>
        <v>24373.200000000001</v>
      </c>
      <c r="C65" s="9" t="s">
        <v>93</v>
      </c>
      <c r="D65" s="40" t="s">
        <v>80</v>
      </c>
      <c r="E65" s="41"/>
      <c r="F65" s="41"/>
      <c r="G65" s="41"/>
      <c r="H65" s="10"/>
      <c r="I65" s="10"/>
      <c r="J65" s="10"/>
      <c r="K65" s="10"/>
      <c r="L65" s="10"/>
      <c r="M65" s="10"/>
      <c r="N65" s="10"/>
      <c r="O65" s="10"/>
      <c r="P65" s="10"/>
      <c r="U65" s="20"/>
    </row>
    <row r="66" spans="1:37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U66" s="20"/>
    </row>
    <row r="67" spans="1:37" x14ac:dyDescent="0.25">
      <c r="A67" s="10"/>
      <c r="B67" s="10" t="s">
        <v>24</v>
      </c>
      <c r="C67" s="36" t="s">
        <v>99</v>
      </c>
      <c r="D67" s="10" t="s">
        <v>33</v>
      </c>
      <c r="E67" s="10" t="s">
        <v>25</v>
      </c>
      <c r="F67" s="10" t="s">
        <v>38</v>
      </c>
      <c r="G67" s="10" t="s">
        <v>24</v>
      </c>
      <c r="H67" s="10"/>
      <c r="I67" s="10" t="s">
        <v>34</v>
      </c>
      <c r="J67" s="10" t="s">
        <v>24</v>
      </c>
      <c r="K67" s="10" t="s">
        <v>24</v>
      </c>
      <c r="L67" s="10" t="s">
        <v>34</v>
      </c>
      <c r="M67" s="10" t="s">
        <v>34</v>
      </c>
      <c r="N67" s="10" t="s">
        <v>25</v>
      </c>
      <c r="O67" s="10"/>
      <c r="P67" s="1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7" x14ac:dyDescent="0.25">
      <c r="A68" s="10" t="s">
        <v>12</v>
      </c>
      <c r="B68" s="10" t="s">
        <v>26</v>
      </c>
      <c r="C68" s="35" t="s">
        <v>102</v>
      </c>
      <c r="D68" s="15" t="s">
        <v>70</v>
      </c>
      <c r="E68" s="10" t="s">
        <v>39</v>
      </c>
      <c r="F68" s="10" t="s">
        <v>40</v>
      </c>
      <c r="G68" s="10" t="s">
        <v>30</v>
      </c>
      <c r="H68" s="10" t="s">
        <v>41</v>
      </c>
      <c r="I68" s="10" t="s">
        <v>42</v>
      </c>
      <c r="J68" s="15" t="s">
        <v>28</v>
      </c>
      <c r="K68" s="10" t="s">
        <v>43</v>
      </c>
      <c r="L68" s="10" t="s">
        <v>44</v>
      </c>
      <c r="M68" s="10" t="s">
        <v>69</v>
      </c>
      <c r="N68" s="10" t="s">
        <v>37</v>
      </c>
      <c r="O68" s="10"/>
      <c r="P68" s="1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1:37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1:37" x14ac:dyDescent="0.25">
      <c r="A70" s="10" t="s">
        <v>18</v>
      </c>
      <c r="B70" s="7">
        <f>E6</f>
        <v>400</v>
      </c>
      <c r="C70" s="7">
        <f t="shared" ref="C70:C75" si="12">D24</f>
        <v>22</v>
      </c>
      <c r="D70" s="7">
        <f t="shared" ref="D70:D75" si="13">C70*E$5*D$76</f>
        <v>7040</v>
      </c>
      <c r="E70" s="7">
        <f t="shared" ref="E70:E75" si="14">D70/E$4</f>
        <v>1408</v>
      </c>
      <c r="F70" s="7">
        <f t="shared" ref="F70:F75" si="15">C24</f>
        <v>1800</v>
      </c>
      <c r="G70" s="7">
        <f t="shared" ref="G70:G75" si="16">B70+E70-F70</f>
        <v>8</v>
      </c>
      <c r="H70" s="7">
        <f t="shared" ref="H70:H75" si="17">IF(G70&lt;0,ABS(G70),0)</f>
        <v>0</v>
      </c>
      <c r="I70" s="7">
        <f t="shared" ref="I70:I75" si="18">H70*$E$13</f>
        <v>0</v>
      </c>
      <c r="J70" s="7">
        <f t="shared" ref="J70:J75" si="19">D41</f>
        <v>450</v>
      </c>
      <c r="K70" s="7">
        <f t="shared" ref="K70:K75" si="20">IF(G70&gt;J70,G70-J70,0)</f>
        <v>0</v>
      </c>
      <c r="L70" s="7">
        <f t="shared" ref="L70:L75" si="21">K70*$E$15</f>
        <v>0</v>
      </c>
      <c r="M70" s="7">
        <f t="shared" ref="M70:M75" si="22">D70*E$7</f>
        <v>4224</v>
      </c>
      <c r="N70" s="7">
        <f>E70</f>
        <v>1408</v>
      </c>
      <c r="O70" s="10"/>
      <c r="P70" s="10"/>
    </row>
    <row r="71" spans="1:37" x14ac:dyDescent="0.25">
      <c r="A71" s="10" t="s">
        <v>19</v>
      </c>
      <c r="B71" s="7">
        <f>G70</f>
        <v>8</v>
      </c>
      <c r="C71" s="7">
        <f t="shared" si="12"/>
        <v>19</v>
      </c>
      <c r="D71" s="7">
        <f t="shared" si="13"/>
        <v>6080</v>
      </c>
      <c r="E71" s="7">
        <f t="shared" si="14"/>
        <v>1216</v>
      </c>
      <c r="F71" s="7">
        <f t="shared" si="15"/>
        <v>1500</v>
      </c>
      <c r="G71" s="7">
        <f t="shared" si="16"/>
        <v>-276</v>
      </c>
      <c r="H71" s="7">
        <f t="shared" si="17"/>
        <v>276</v>
      </c>
      <c r="I71" s="7">
        <f t="shared" si="18"/>
        <v>207</v>
      </c>
      <c r="J71" s="7">
        <f t="shared" si="19"/>
        <v>375</v>
      </c>
      <c r="K71" s="7">
        <f t="shared" si="20"/>
        <v>0</v>
      </c>
      <c r="L71" s="7">
        <f t="shared" si="21"/>
        <v>0</v>
      </c>
      <c r="M71" s="7">
        <f t="shared" si="22"/>
        <v>3648</v>
      </c>
      <c r="N71" s="7">
        <f>N70+E71</f>
        <v>2624</v>
      </c>
      <c r="O71" s="10"/>
      <c r="P71" s="10"/>
    </row>
    <row r="72" spans="1:37" x14ac:dyDescent="0.25">
      <c r="A72" s="10" t="s">
        <v>20</v>
      </c>
      <c r="B72" s="7">
        <f>G71</f>
        <v>-276</v>
      </c>
      <c r="C72" s="7">
        <f t="shared" si="12"/>
        <v>21</v>
      </c>
      <c r="D72" s="7">
        <f t="shared" si="13"/>
        <v>6720</v>
      </c>
      <c r="E72" s="7">
        <f t="shared" si="14"/>
        <v>1344</v>
      </c>
      <c r="F72" s="7">
        <f t="shared" si="15"/>
        <v>1100</v>
      </c>
      <c r="G72" s="7">
        <f t="shared" si="16"/>
        <v>-32</v>
      </c>
      <c r="H72" s="7">
        <f t="shared" si="17"/>
        <v>32</v>
      </c>
      <c r="I72" s="7">
        <f t="shared" si="18"/>
        <v>24</v>
      </c>
      <c r="J72" s="7">
        <f t="shared" si="19"/>
        <v>275</v>
      </c>
      <c r="K72" s="7">
        <f t="shared" si="20"/>
        <v>0</v>
      </c>
      <c r="L72" s="7">
        <f t="shared" si="21"/>
        <v>0</v>
      </c>
      <c r="M72" s="7">
        <f t="shared" si="22"/>
        <v>4032</v>
      </c>
      <c r="N72" s="7">
        <f>N71+E72</f>
        <v>3968</v>
      </c>
      <c r="O72" s="10"/>
      <c r="P72" s="10"/>
    </row>
    <row r="73" spans="1:37" x14ac:dyDescent="0.25">
      <c r="A73" s="10" t="s">
        <v>21</v>
      </c>
      <c r="B73" s="7">
        <f>G72</f>
        <v>-32</v>
      </c>
      <c r="C73" s="7">
        <f t="shared" si="12"/>
        <v>21</v>
      </c>
      <c r="D73" s="7">
        <f t="shared" si="13"/>
        <v>6720</v>
      </c>
      <c r="E73" s="7">
        <f t="shared" si="14"/>
        <v>1344</v>
      </c>
      <c r="F73" s="7">
        <f t="shared" si="15"/>
        <v>900</v>
      </c>
      <c r="G73" s="7">
        <f t="shared" si="16"/>
        <v>412</v>
      </c>
      <c r="H73" s="7">
        <f t="shared" si="17"/>
        <v>0</v>
      </c>
      <c r="I73" s="7">
        <f t="shared" si="18"/>
        <v>0</v>
      </c>
      <c r="J73" s="7">
        <f t="shared" si="19"/>
        <v>225</v>
      </c>
      <c r="K73" s="7">
        <f t="shared" si="20"/>
        <v>187</v>
      </c>
      <c r="L73" s="7">
        <f t="shared" si="21"/>
        <v>42.074999999999996</v>
      </c>
      <c r="M73" s="7">
        <f t="shared" si="22"/>
        <v>4032</v>
      </c>
      <c r="N73" s="7">
        <f>N72+E73</f>
        <v>5312</v>
      </c>
      <c r="O73" s="10"/>
      <c r="P73" s="10"/>
    </row>
    <row r="74" spans="1:37" x14ac:dyDescent="0.25">
      <c r="A74" s="10" t="s">
        <v>22</v>
      </c>
      <c r="B74" s="7">
        <f>G73</f>
        <v>412</v>
      </c>
      <c r="C74" s="7">
        <f t="shared" si="12"/>
        <v>22</v>
      </c>
      <c r="D74" s="7">
        <f t="shared" si="13"/>
        <v>7040</v>
      </c>
      <c r="E74" s="7">
        <f t="shared" si="14"/>
        <v>1408</v>
      </c>
      <c r="F74" s="7">
        <f t="shared" si="15"/>
        <v>1100</v>
      </c>
      <c r="G74" s="7">
        <f t="shared" si="16"/>
        <v>720</v>
      </c>
      <c r="H74" s="7">
        <f t="shared" si="17"/>
        <v>0</v>
      </c>
      <c r="I74" s="7">
        <f t="shared" si="18"/>
        <v>0</v>
      </c>
      <c r="J74" s="7">
        <f t="shared" si="19"/>
        <v>275</v>
      </c>
      <c r="K74" s="7">
        <f t="shared" si="20"/>
        <v>445</v>
      </c>
      <c r="L74" s="7">
        <f t="shared" si="21"/>
        <v>100.12499999999999</v>
      </c>
      <c r="M74" s="7">
        <f t="shared" si="22"/>
        <v>4224</v>
      </c>
      <c r="N74" s="7">
        <f>N73+E74</f>
        <v>6720</v>
      </c>
      <c r="O74" s="10"/>
      <c r="P74" s="10"/>
    </row>
    <row r="75" spans="1:37" x14ac:dyDescent="0.25">
      <c r="A75" s="10" t="s">
        <v>23</v>
      </c>
      <c r="B75" s="7">
        <f>G74</f>
        <v>720</v>
      </c>
      <c r="C75" s="7">
        <f t="shared" si="12"/>
        <v>20</v>
      </c>
      <c r="D75" s="7">
        <f t="shared" si="13"/>
        <v>6400</v>
      </c>
      <c r="E75" s="7">
        <f t="shared" si="14"/>
        <v>1280</v>
      </c>
      <c r="F75" s="7">
        <f t="shared" si="15"/>
        <v>1600</v>
      </c>
      <c r="G75" s="7">
        <f t="shared" si="16"/>
        <v>400</v>
      </c>
      <c r="H75" s="7">
        <f t="shared" si="17"/>
        <v>0</v>
      </c>
      <c r="I75" s="7">
        <f t="shared" si="18"/>
        <v>0</v>
      </c>
      <c r="J75" s="7">
        <f t="shared" si="19"/>
        <v>400</v>
      </c>
      <c r="K75" s="7">
        <f t="shared" si="20"/>
        <v>0</v>
      </c>
      <c r="L75" s="7">
        <f t="shared" si="21"/>
        <v>0</v>
      </c>
      <c r="M75" s="7">
        <f t="shared" si="22"/>
        <v>3840</v>
      </c>
      <c r="N75" s="7">
        <f>N74+E75</f>
        <v>8000</v>
      </c>
      <c r="O75" s="10"/>
      <c r="P75" s="10"/>
      <c r="Q75" s="20"/>
      <c r="R75" s="20"/>
    </row>
    <row r="76" spans="1:37" x14ac:dyDescent="0.25">
      <c r="A76" s="10"/>
      <c r="B76" s="22" t="s">
        <v>72</v>
      </c>
      <c r="C76" s="23"/>
      <c r="D76" s="21">
        <f>ROUNDUP(C31*E4/(D31*E5),0)</f>
        <v>40</v>
      </c>
      <c r="E76" s="23"/>
      <c r="F76" s="23"/>
      <c r="G76" s="23"/>
      <c r="H76" s="23"/>
      <c r="I76" s="21">
        <f>SUM(I70:I75)</f>
        <v>231</v>
      </c>
      <c r="J76" s="23"/>
      <c r="K76" s="23"/>
      <c r="L76" s="21">
        <f>SUM(L70:L75)</f>
        <v>142.19999999999999</v>
      </c>
      <c r="M76" s="21">
        <f>SUM(M70:M75)</f>
        <v>24000</v>
      </c>
      <c r="N76" s="23"/>
      <c r="O76" s="10"/>
      <c r="P76" s="10"/>
      <c r="Q76" s="20"/>
      <c r="R76" s="20"/>
    </row>
    <row r="77" spans="1:37" x14ac:dyDescent="0.25">
      <c r="A77" s="9"/>
      <c r="B77" s="19"/>
      <c r="C77" s="13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S77" s="20"/>
      <c r="T77" s="20"/>
    </row>
    <row r="78" spans="1:37" ht="15.6" x14ac:dyDescent="0.3">
      <c r="A78" s="16" t="s">
        <v>32</v>
      </c>
      <c r="B78" s="8">
        <f>E116</f>
        <v>24000</v>
      </c>
      <c r="C78" s="9" t="s">
        <v>93</v>
      </c>
      <c r="D78" s="40" t="s">
        <v>45</v>
      </c>
      <c r="E78" s="41"/>
      <c r="F78" s="41"/>
      <c r="G78" s="41"/>
      <c r="H78" s="10"/>
      <c r="I78" s="10"/>
      <c r="J78" s="10"/>
      <c r="K78" s="10"/>
      <c r="L78" s="10"/>
      <c r="M78" s="10"/>
      <c r="N78" s="10"/>
      <c r="O78" s="10"/>
      <c r="P78" s="10"/>
      <c r="S78" s="20"/>
      <c r="T78" s="20"/>
    </row>
    <row r="79" spans="1:37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U79" s="20"/>
    </row>
    <row r="80" spans="1:37" x14ac:dyDescent="0.25">
      <c r="A80" s="10"/>
      <c r="B80" s="10" t="s">
        <v>25</v>
      </c>
      <c r="C80" s="36" t="s">
        <v>99</v>
      </c>
      <c r="D80" s="10" t="s">
        <v>33</v>
      </c>
      <c r="E80" s="10" t="s">
        <v>25</v>
      </c>
      <c r="F80" s="15" t="s">
        <v>73</v>
      </c>
      <c r="G80" s="10" t="s">
        <v>34</v>
      </c>
      <c r="H80" s="10" t="s">
        <v>34</v>
      </c>
      <c r="I80" s="10" t="s">
        <v>25</v>
      </c>
      <c r="J80" s="10"/>
      <c r="K80" s="10"/>
      <c r="L80" s="10"/>
      <c r="M80" s="10"/>
      <c r="N80" s="10"/>
      <c r="O80" s="10"/>
      <c r="P80" s="10"/>
      <c r="U80" s="20"/>
    </row>
    <row r="81" spans="1:46" x14ac:dyDescent="0.25">
      <c r="A81" s="10" t="s">
        <v>12</v>
      </c>
      <c r="B81" s="10" t="s">
        <v>29</v>
      </c>
      <c r="C81" s="35" t="s">
        <v>102</v>
      </c>
      <c r="D81" s="15" t="s">
        <v>70</v>
      </c>
      <c r="E81" s="10" t="s">
        <v>39</v>
      </c>
      <c r="F81" s="10" t="s">
        <v>74</v>
      </c>
      <c r="G81" s="15" t="s">
        <v>75</v>
      </c>
      <c r="H81" s="10" t="s">
        <v>69</v>
      </c>
      <c r="I81" s="10" t="s">
        <v>37</v>
      </c>
      <c r="J81" s="10"/>
      <c r="K81" s="10"/>
      <c r="L81" s="10"/>
      <c r="M81" s="10"/>
      <c r="N81" s="10"/>
      <c r="O81" s="10"/>
      <c r="P81" s="10"/>
      <c r="U81" s="20"/>
    </row>
    <row r="82" spans="1:46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</row>
    <row r="83" spans="1:46" x14ac:dyDescent="0.25">
      <c r="A83" s="10" t="s">
        <v>18</v>
      </c>
      <c r="B83" s="7">
        <f t="shared" ref="B83:B88" si="23">E41</f>
        <v>1850</v>
      </c>
      <c r="C83" s="7">
        <f t="shared" ref="C83:C88" si="24">D24</f>
        <v>22</v>
      </c>
      <c r="D83" s="7">
        <f t="shared" ref="D83:D88" si="25">C83*E$5*D$89</f>
        <v>4400</v>
      </c>
      <c r="E83" s="7">
        <f t="shared" ref="E83:E88" si="26">D83/E$4</f>
        <v>880</v>
      </c>
      <c r="F83" s="7">
        <f t="shared" ref="F83:F88" si="27">IF(B83-E83&lt;0,0,B83-E83)</f>
        <v>970</v>
      </c>
      <c r="G83" s="7">
        <f t="shared" ref="G83:G88" si="28">F83*E$16</f>
        <v>2910</v>
      </c>
      <c r="H83" s="7">
        <f t="shared" ref="H83:H88" si="29">D83*E$7</f>
        <v>2640</v>
      </c>
      <c r="I83" s="7">
        <f>B83</f>
        <v>1850</v>
      </c>
      <c r="J83" s="10"/>
      <c r="K83" s="10"/>
      <c r="L83" s="10"/>
      <c r="M83" s="10"/>
      <c r="N83" s="10"/>
      <c r="O83" s="10"/>
      <c r="P83" s="1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</row>
    <row r="84" spans="1:46" x14ac:dyDescent="0.25">
      <c r="A84" s="10" t="s">
        <v>19</v>
      </c>
      <c r="B84" s="7">
        <f t="shared" si="23"/>
        <v>1425</v>
      </c>
      <c r="C84" s="7">
        <f t="shared" si="24"/>
        <v>19</v>
      </c>
      <c r="D84" s="7">
        <f t="shared" si="25"/>
        <v>3800</v>
      </c>
      <c r="E84" s="7">
        <f t="shared" si="26"/>
        <v>760</v>
      </c>
      <c r="F84" s="7">
        <f t="shared" si="27"/>
        <v>665</v>
      </c>
      <c r="G84" s="7">
        <f t="shared" si="28"/>
        <v>1995</v>
      </c>
      <c r="H84" s="7">
        <f t="shared" si="29"/>
        <v>2280</v>
      </c>
      <c r="I84" s="7">
        <f>I83+B84</f>
        <v>3275</v>
      </c>
      <c r="J84" s="10"/>
      <c r="K84" s="10"/>
      <c r="L84" s="10"/>
      <c r="M84" s="10"/>
      <c r="N84" s="10"/>
      <c r="O84" s="10"/>
      <c r="P84" s="1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</row>
    <row r="85" spans="1:46" x14ac:dyDescent="0.25">
      <c r="A85" s="10" t="s">
        <v>20</v>
      </c>
      <c r="B85" s="7">
        <f t="shared" si="23"/>
        <v>1000</v>
      </c>
      <c r="C85" s="7">
        <f t="shared" si="24"/>
        <v>21</v>
      </c>
      <c r="D85" s="7">
        <f t="shared" si="25"/>
        <v>4200</v>
      </c>
      <c r="E85" s="7">
        <f t="shared" si="26"/>
        <v>840</v>
      </c>
      <c r="F85" s="7">
        <f t="shared" si="27"/>
        <v>160</v>
      </c>
      <c r="G85" s="7">
        <f t="shared" si="28"/>
        <v>480</v>
      </c>
      <c r="H85" s="7">
        <f t="shared" si="29"/>
        <v>2520</v>
      </c>
      <c r="I85" s="7">
        <f>I84+B85</f>
        <v>4275</v>
      </c>
      <c r="J85" s="10"/>
      <c r="K85" s="10"/>
      <c r="L85" s="10"/>
      <c r="M85" s="10"/>
      <c r="N85" s="10"/>
      <c r="O85" s="10"/>
      <c r="P85" s="10"/>
    </row>
    <row r="86" spans="1:46" x14ac:dyDescent="0.25">
      <c r="A86" s="10" t="s">
        <v>21</v>
      </c>
      <c r="B86" s="7">
        <f t="shared" si="23"/>
        <v>850</v>
      </c>
      <c r="C86" s="7">
        <f t="shared" si="24"/>
        <v>21</v>
      </c>
      <c r="D86" s="7">
        <f t="shared" si="25"/>
        <v>4200</v>
      </c>
      <c r="E86" s="7">
        <f t="shared" si="26"/>
        <v>840</v>
      </c>
      <c r="F86" s="7">
        <f t="shared" si="27"/>
        <v>10</v>
      </c>
      <c r="G86" s="7">
        <f t="shared" si="28"/>
        <v>30</v>
      </c>
      <c r="H86" s="7">
        <f t="shared" si="29"/>
        <v>2520</v>
      </c>
      <c r="I86" s="7">
        <f>I85+B86</f>
        <v>5125</v>
      </c>
      <c r="J86" s="10"/>
      <c r="K86" s="10"/>
      <c r="L86" s="10"/>
      <c r="M86" s="10"/>
      <c r="N86" s="10"/>
      <c r="O86" s="10"/>
      <c r="P86" s="10"/>
    </row>
    <row r="87" spans="1:46" x14ac:dyDescent="0.25">
      <c r="A87" s="10" t="s">
        <v>22</v>
      </c>
      <c r="B87" s="7">
        <f t="shared" si="23"/>
        <v>1150</v>
      </c>
      <c r="C87" s="7">
        <f t="shared" si="24"/>
        <v>22</v>
      </c>
      <c r="D87" s="7">
        <f t="shared" si="25"/>
        <v>4400</v>
      </c>
      <c r="E87" s="7">
        <f t="shared" si="26"/>
        <v>880</v>
      </c>
      <c r="F87" s="7">
        <f t="shared" si="27"/>
        <v>270</v>
      </c>
      <c r="G87" s="7">
        <f t="shared" si="28"/>
        <v>810</v>
      </c>
      <c r="H87" s="7">
        <f t="shared" si="29"/>
        <v>2640</v>
      </c>
      <c r="I87" s="7">
        <f>I86+B87</f>
        <v>6275</v>
      </c>
      <c r="J87" s="10"/>
      <c r="K87" s="10"/>
      <c r="L87" s="10"/>
      <c r="M87" s="10"/>
      <c r="N87" s="10"/>
      <c r="O87" s="10"/>
      <c r="P87" s="10"/>
    </row>
    <row r="88" spans="1:46" x14ac:dyDescent="0.25">
      <c r="A88" s="10" t="s">
        <v>23</v>
      </c>
      <c r="B88" s="7">
        <f t="shared" si="23"/>
        <v>1725</v>
      </c>
      <c r="C88" s="7">
        <f t="shared" si="24"/>
        <v>20</v>
      </c>
      <c r="D88" s="7">
        <f t="shared" si="25"/>
        <v>4000</v>
      </c>
      <c r="E88" s="7">
        <f t="shared" si="26"/>
        <v>800</v>
      </c>
      <c r="F88" s="7">
        <f t="shared" si="27"/>
        <v>925</v>
      </c>
      <c r="G88" s="7">
        <f t="shared" si="28"/>
        <v>2775</v>
      </c>
      <c r="H88" s="7">
        <f t="shared" si="29"/>
        <v>2400</v>
      </c>
      <c r="I88" s="7">
        <f>I87+B88</f>
        <v>8000</v>
      </c>
      <c r="J88" s="10"/>
      <c r="K88" s="10"/>
      <c r="L88" s="10"/>
      <c r="M88" s="10"/>
      <c r="N88" s="10"/>
      <c r="O88" s="10"/>
      <c r="P88" s="10"/>
    </row>
    <row r="89" spans="1:46" x14ac:dyDescent="0.25">
      <c r="A89" s="10"/>
      <c r="B89" s="22" t="s">
        <v>72</v>
      </c>
      <c r="C89" s="10"/>
      <c r="D89" s="21">
        <f>ROUNDDOWN((MIN(B83:B88)*6*E4)/(D31*E5),0)</f>
        <v>25</v>
      </c>
      <c r="E89" s="10"/>
      <c r="F89" s="10"/>
      <c r="G89" s="21">
        <f>SUM(G83:G88)</f>
        <v>9000</v>
      </c>
      <c r="H89" s="21">
        <f>SUM(H83:H88)</f>
        <v>15000</v>
      </c>
      <c r="I89" s="10"/>
      <c r="J89" s="10"/>
      <c r="K89" s="10"/>
      <c r="L89" s="10"/>
      <c r="M89" s="10"/>
      <c r="N89" s="10"/>
      <c r="O89" s="10"/>
      <c r="P89" s="10"/>
    </row>
    <row r="90" spans="1:46" x14ac:dyDescent="0.25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46" ht="15.6" x14ac:dyDescent="0.3">
      <c r="A91" s="16" t="s">
        <v>32</v>
      </c>
      <c r="B91" s="8">
        <f>F116</f>
        <v>24824.1</v>
      </c>
      <c r="C91" s="9" t="s">
        <v>93</v>
      </c>
      <c r="D91" s="40" t="s">
        <v>46</v>
      </c>
      <c r="E91" s="41"/>
      <c r="F91" s="41"/>
      <c r="G91" s="41"/>
      <c r="H91" s="10"/>
      <c r="I91" s="10"/>
      <c r="J91" s="10"/>
      <c r="K91" s="10"/>
      <c r="L91" s="10"/>
      <c r="M91" s="10"/>
      <c r="N91" s="10"/>
      <c r="O91" s="10"/>
      <c r="P91" s="10"/>
      <c r="S91" s="20"/>
      <c r="T91" s="20"/>
    </row>
    <row r="92" spans="1:46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S92" s="20"/>
      <c r="T92" s="20"/>
    </row>
    <row r="93" spans="1:46" x14ac:dyDescent="0.25">
      <c r="A93" s="10"/>
      <c r="B93" s="10" t="s">
        <v>24</v>
      </c>
      <c r="C93" s="36" t="s">
        <v>99</v>
      </c>
      <c r="D93" s="10" t="s">
        <v>33</v>
      </c>
      <c r="E93" s="10" t="s">
        <v>25</v>
      </c>
      <c r="F93" s="10" t="s">
        <v>38</v>
      </c>
      <c r="G93" s="10" t="s">
        <v>24</v>
      </c>
      <c r="H93" s="10" t="s">
        <v>25</v>
      </c>
      <c r="I93" s="10" t="s">
        <v>34</v>
      </c>
      <c r="J93" s="10" t="s">
        <v>24</v>
      </c>
      <c r="K93" s="10" t="s">
        <v>24</v>
      </c>
      <c r="L93" s="10" t="s">
        <v>34</v>
      </c>
      <c r="M93" s="10" t="s">
        <v>34</v>
      </c>
      <c r="N93" s="10" t="s">
        <v>25</v>
      </c>
      <c r="O93" s="10" t="s">
        <v>25</v>
      </c>
      <c r="P93" s="10"/>
    </row>
    <row r="94" spans="1:46" x14ac:dyDescent="0.25">
      <c r="A94" s="10" t="s">
        <v>12</v>
      </c>
      <c r="B94" s="10" t="s">
        <v>26</v>
      </c>
      <c r="C94" s="35" t="s">
        <v>102</v>
      </c>
      <c r="D94" s="15" t="s">
        <v>70</v>
      </c>
      <c r="E94" s="10" t="s">
        <v>39</v>
      </c>
      <c r="F94" s="10" t="s">
        <v>40</v>
      </c>
      <c r="G94" s="10" t="s">
        <v>30</v>
      </c>
      <c r="H94" s="15" t="s">
        <v>76</v>
      </c>
      <c r="I94" s="15" t="s">
        <v>76</v>
      </c>
      <c r="J94" s="10" t="s">
        <v>28</v>
      </c>
      <c r="K94" s="10" t="s">
        <v>43</v>
      </c>
      <c r="L94" s="10" t="s">
        <v>44</v>
      </c>
      <c r="M94" s="10" t="s">
        <v>69</v>
      </c>
      <c r="N94" s="10" t="s">
        <v>47</v>
      </c>
      <c r="O94" s="10" t="s">
        <v>37</v>
      </c>
      <c r="P94" s="10"/>
      <c r="U94" s="20"/>
    </row>
    <row r="95" spans="1:46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U95" s="20"/>
    </row>
    <row r="96" spans="1:46" x14ac:dyDescent="0.25">
      <c r="A96" s="10" t="s">
        <v>18</v>
      </c>
      <c r="B96" s="7">
        <f>E6</f>
        <v>400</v>
      </c>
      <c r="C96" s="7">
        <f t="shared" ref="C96:C101" si="30">D24</f>
        <v>22</v>
      </c>
      <c r="D96" s="7">
        <f t="shared" ref="D96:D101" si="31">C96*E$5*D$102</f>
        <v>6688</v>
      </c>
      <c r="E96" s="7">
        <f t="shared" ref="E96:E101" si="32">D96/E$4</f>
        <v>1337.6</v>
      </c>
      <c r="F96" s="7">
        <f t="shared" ref="F96:F101" si="33">C24</f>
        <v>1800</v>
      </c>
      <c r="G96" s="7">
        <f t="shared" ref="G96:G101" si="34">B96+E96-F96</f>
        <v>-62.400000000000091</v>
      </c>
      <c r="H96" s="7">
        <f t="shared" ref="H96:H101" si="35">IF(G96&lt;0,ABS(G96),0)</f>
        <v>62.400000000000091</v>
      </c>
      <c r="I96" s="7">
        <f t="shared" ref="I96:I101" si="36">H96*E$4*E$8</f>
        <v>280.80000000000041</v>
      </c>
      <c r="J96" s="7">
        <f t="shared" ref="J96:J101" si="37">D41</f>
        <v>450</v>
      </c>
      <c r="K96" s="7">
        <f t="shared" ref="K96:K101" si="38">IF(G96-J96&lt;0,0,G96-J96)</f>
        <v>0</v>
      </c>
      <c r="L96" s="7">
        <f t="shared" ref="L96:L101" si="39">K96*$E$15</f>
        <v>0</v>
      </c>
      <c r="M96" s="7">
        <f t="shared" ref="M96:M101" si="40">D96*E$7</f>
        <v>4012.7999999999997</v>
      </c>
      <c r="N96" s="7">
        <f t="shared" ref="N96:N101" si="41">E96+H96</f>
        <v>1400</v>
      </c>
      <c r="O96" s="7">
        <f>E96+H96</f>
        <v>1400</v>
      </c>
      <c r="P96" s="10"/>
      <c r="U96" s="20"/>
    </row>
    <row r="97" spans="1:74" x14ac:dyDescent="0.25">
      <c r="A97" s="10" t="s">
        <v>19</v>
      </c>
      <c r="B97" s="7">
        <f>IF(G96&lt;0,0,G96)</f>
        <v>0</v>
      </c>
      <c r="C97" s="7">
        <f t="shared" si="30"/>
        <v>19</v>
      </c>
      <c r="D97" s="7">
        <f t="shared" si="31"/>
        <v>5776</v>
      </c>
      <c r="E97" s="7">
        <f t="shared" si="32"/>
        <v>1155.2</v>
      </c>
      <c r="F97" s="7">
        <f t="shared" si="33"/>
        <v>1500</v>
      </c>
      <c r="G97" s="7">
        <f t="shared" si="34"/>
        <v>-344.79999999999995</v>
      </c>
      <c r="H97" s="7">
        <f t="shared" si="35"/>
        <v>344.79999999999995</v>
      </c>
      <c r="I97" s="7">
        <f t="shared" si="36"/>
        <v>1551.6</v>
      </c>
      <c r="J97" s="7">
        <f t="shared" si="37"/>
        <v>375</v>
      </c>
      <c r="K97" s="7">
        <f t="shared" si="38"/>
        <v>0</v>
      </c>
      <c r="L97" s="7">
        <f t="shared" si="39"/>
        <v>0</v>
      </c>
      <c r="M97" s="7">
        <f t="shared" si="40"/>
        <v>3465.6</v>
      </c>
      <c r="N97" s="7">
        <f t="shared" si="41"/>
        <v>1500</v>
      </c>
      <c r="O97" s="7">
        <f>O96+N97</f>
        <v>2900</v>
      </c>
      <c r="P97" s="1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</row>
    <row r="98" spans="1:74" x14ac:dyDescent="0.25">
      <c r="A98" s="10" t="s">
        <v>20</v>
      </c>
      <c r="B98" s="7">
        <f>IF(G97&lt;0,0,G97)</f>
        <v>0</v>
      </c>
      <c r="C98" s="7">
        <f t="shared" si="30"/>
        <v>21</v>
      </c>
      <c r="D98" s="7">
        <f t="shared" si="31"/>
        <v>6384</v>
      </c>
      <c r="E98" s="7">
        <f t="shared" si="32"/>
        <v>1276.8</v>
      </c>
      <c r="F98" s="7">
        <f t="shared" si="33"/>
        <v>1100</v>
      </c>
      <c r="G98" s="7">
        <f t="shared" si="34"/>
        <v>176.79999999999995</v>
      </c>
      <c r="H98" s="7">
        <f t="shared" si="35"/>
        <v>0</v>
      </c>
      <c r="I98" s="7">
        <f t="shared" si="36"/>
        <v>0</v>
      </c>
      <c r="J98" s="7">
        <f t="shared" si="37"/>
        <v>275</v>
      </c>
      <c r="K98" s="7">
        <f t="shared" si="38"/>
        <v>0</v>
      </c>
      <c r="L98" s="7">
        <f t="shared" si="39"/>
        <v>0</v>
      </c>
      <c r="M98" s="7">
        <f t="shared" si="40"/>
        <v>3830.3999999999996</v>
      </c>
      <c r="N98" s="7">
        <f t="shared" si="41"/>
        <v>1276.8</v>
      </c>
      <c r="O98" s="7">
        <f>O97+N98</f>
        <v>4176.8</v>
      </c>
      <c r="P98" s="1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</row>
    <row r="99" spans="1:74" x14ac:dyDescent="0.25">
      <c r="A99" s="10" t="s">
        <v>21</v>
      </c>
      <c r="B99" s="7">
        <f>IF(G98&lt;0,0,G98)</f>
        <v>176.79999999999995</v>
      </c>
      <c r="C99" s="7">
        <f t="shared" si="30"/>
        <v>21</v>
      </c>
      <c r="D99" s="7">
        <f t="shared" si="31"/>
        <v>6384</v>
      </c>
      <c r="E99" s="7">
        <f t="shared" si="32"/>
        <v>1276.8</v>
      </c>
      <c r="F99" s="7">
        <f t="shared" si="33"/>
        <v>900</v>
      </c>
      <c r="G99" s="7">
        <f t="shared" si="34"/>
        <v>553.59999999999991</v>
      </c>
      <c r="H99" s="7">
        <f t="shared" si="35"/>
        <v>0</v>
      </c>
      <c r="I99" s="7">
        <f t="shared" si="36"/>
        <v>0</v>
      </c>
      <c r="J99" s="7">
        <f t="shared" si="37"/>
        <v>225</v>
      </c>
      <c r="K99" s="7">
        <f t="shared" si="38"/>
        <v>328.59999999999991</v>
      </c>
      <c r="L99" s="7">
        <f t="shared" si="39"/>
        <v>73.934999999999974</v>
      </c>
      <c r="M99" s="7">
        <f t="shared" si="40"/>
        <v>3830.3999999999996</v>
      </c>
      <c r="N99" s="7">
        <f t="shared" si="41"/>
        <v>1276.8</v>
      </c>
      <c r="O99" s="7">
        <f>O98+N99</f>
        <v>5453.6</v>
      </c>
      <c r="P99" s="1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</row>
    <row r="100" spans="1:74" x14ac:dyDescent="0.25">
      <c r="A100" s="10" t="s">
        <v>22</v>
      </c>
      <c r="B100" s="7">
        <f>IF(G99&lt;0,0,G99)</f>
        <v>553.59999999999991</v>
      </c>
      <c r="C100" s="7">
        <f t="shared" si="30"/>
        <v>22</v>
      </c>
      <c r="D100" s="7">
        <f t="shared" si="31"/>
        <v>6688</v>
      </c>
      <c r="E100" s="7">
        <f t="shared" si="32"/>
        <v>1337.6</v>
      </c>
      <c r="F100" s="7">
        <f t="shared" si="33"/>
        <v>1100</v>
      </c>
      <c r="G100" s="7">
        <f t="shared" si="34"/>
        <v>791.19999999999982</v>
      </c>
      <c r="H100" s="7">
        <f t="shared" si="35"/>
        <v>0</v>
      </c>
      <c r="I100" s="7">
        <f t="shared" si="36"/>
        <v>0</v>
      </c>
      <c r="J100" s="7">
        <f t="shared" si="37"/>
        <v>275</v>
      </c>
      <c r="K100" s="7">
        <f t="shared" si="38"/>
        <v>516.19999999999982</v>
      </c>
      <c r="L100" s="7">
        <f t="shared" si="39"/>
        <v>116.14499999999995</v>
      </c>
      <c r="M100" s="7">
        <f t="shared" si="40"/>
        <v>4012.7999999999997</v>
      </c>
      <c r="N100" s="7">
        <f t="shared" si="41"/>
        <v>1337.6</v>
      </c>
      <c r="O100" s="7">
        <f>O99+N100</f>
        <v>6791.2000000000007</v>
      </c>
      <c r="P100" s="10"/>
    </row>
    <row r="101" spans="1:74" x14ac:dyDescent="0.25">
      <c r="A101" s="10" t="s">
        <v>23</v>
      </c>
      <c r="B101" s="7">
        <f>IF(G100&lt;0,0,G100)</f>
        <v>791.19999999999982</v>
      </c>
      <c r="C101" s="7">
        <f t="shared" si="30"/>
        <v>20</v>
      </c>
      <c r="D101" s="7">
        <f t="shared" si="31"/>
        <v>6080</v>
      </c>
      <c r="E101" s="7">
        <f t="shared" si="32"/>
        <v>1216</v>
      </c>
      <c r="F101" s="7">
        <f t="shared" si="33"/>
        <v>1600</v>
      </c>
      <c r="G101" s="7">
        <f t="shared" si="34"/>
        <v>407.19999999999982</v>
      </c>
      <c r="H101" s="7">
        <f t="shared" si="35"/>
        <v>0</v>
      </c>
      <c r="I101" s="7">
        <f t="shared" si="36"/>
        <v>0</v>
      </c>
      <c r="J101" s="7">
        <f t="shared" si="37"/>
        <v>400</v>
      </c>
      <c r="K101" s="7">
        <f t="shared" si="38"/>
        <v>7.1999999999998181</v>
      </c>
      <c r="L101" s="7">
        <f t="shared" si="39"/>
        <v>1.6199999999999588</v>
      </c>
      <c r="M101" s="7">
        <f t="shared" si="40"/>
        <v>3648</v>
      </c>
      <c r="N101" s="7">
        <f t="shared" si="41"/>
        <v>1216</v>
      </c>
      <c r="O101" s="7">
        <f>O100+N101</f>
        <v>8007.2000000000007</v>
      </c>
      <c r="P101" s="10"/>
    </row>
    <row r="102" spans="1:74" x14ac:dyDescent="0.25">
      <c r="A102" s="10"/>
      <c r="B102" s="22" t="s">
        <v>72</v>
      </c>
      <c r="C102" s="10"/>
      <c r="D102" s="1">
        <v>38</v>
      </c>
      <c r="E102" s="10"/>
      <c r="F102" s="10"/>
      <c r="G102" s="10"/>
      <c r="H102" s="10"/>
      <c r="I102" s="21">
        <f>SUM(I96:I101)</f>
        <v>1832.4000000000003</v>
      </c>
      <c r="J102" s="10"/>
      <c r="K102" s="10"/>
      <c r="L102" s="21">
        <f>SUM(L96:L101)</f>
        <v>191.69999999999987</v>
      </c>
      <c r="M102" s="21">
        <f>SUM(M96:M101)</f>
        <v>22800</v>
      </c>
      <c r="N102" s="10"/>
      <c r="O102" s="10"/>
      <c r="P102" s="10"/>
    </row>
    <row r="103" spans="1:74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74" ht="15.6" x14ac:dyDescent="0.3">
      <c r="A104" s="10"/>
      <c r="B104" s="10"/>
      <c r="C104" s="40" t="s">
        <v>48</v>
      </c>
      <c r="D104" s="41"/>
      <c r="E104" s="41"/>
      <c r="F104" s="41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74" x14ac:dyDescent="0.25">
      <c r="A105" s="10"/>
      <c r="B105" s="10"/>
      <c r="C105" s="10"/>
      <c r="D105" s="10"/>
      <c r="E105" s="10"/>
      <c r="F105" s="10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74" x14ac:dyDescent="0.25">
      <c r="A106" s="15" t="s">
        <v>94</v>
      </c>
      <c r="B106" s="10"/>
      <c r="C106" s="24" t="s">
        <v>49</v>
      </c>
      <c r="D106" s="24" t="s">
        <v>50</v>
      </c>
      <c r="E106" s="24" t="s">
        <v>51</v>
      </c>
      <c r="F106" s="24" t="s">
        <v>52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74" x14ac:dyDescent="0.25">
      <c r="A107" s="10"/>
      <c r="B107" s="10"/>
      <c r="C107" s="10"/>
      <c r="D107" s="10"/>
      <c r="E107" s="10"/>
      <c r="F107" s="10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74" x14ac:dyDescent="0.25">
      <c r="A108" s="19" t="s">
        <v>53</v>
      </c>
      <c r="B108" s="10"/>
      <c r="C108" s="7">
        <f>H63</f>
        <v>840</v>
      </c>
      <c r="D108" s="10"/>
      <c r="E108" s="10"/>
      <c r="F108" s="10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74" x14ac:dyDescent="0.25">
      <c r="A109" s="19" t="s">
        <v>54</v>
      </c>
      <c r="B109" s="10"/>
      <c r="C109" s="7">
        <f>J63</f>
        <v>1012.5</v>
      </c>
      <c r="D109" s="10"/>
      <c r="E109" s="10"/>
      <c r="F109" s="10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74" x14ac:dyDescent="0.25">
      <c r="A110" s="19" t="s">
        <v>55</v>
      </c>
      <c r="B110" s="10"/>
      <c r="C110" s="10"/>
      <c r="D110" s="7">
        <f>L76</f>
        <v>142.19999999999999</v>
      </c>
      <c r="E110" s="10"/>
      <c r="F110" s="7">
        <f>L102</f>
        <v>191.69999999999987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74" x14ac:dyDescent="0.25">
      <c r="A111" s="19" t="s">
        <v>56</v>
      </c>
      <c r="B111" s="10"/>
      <c r="C111" s="10"/>
      <c r="D111" s="7">
        <f>I76</f>
        <v>231</v>
      </c>
      <c r="E111" s="10"/>
      <c r="F111" s="10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74" x14ac:dyDescent="0.25">
      <c r="A112" s="19" t="s">
        <v>57</v>
      </c>
      <c r="B112" s="10"/>
      <c r="C112" s="10"/>
      <c r="D112" s="10"/>
      <c r="E112" s="7">
        <f>G89</f>
        <v>9000</v>
      </c>
      <c r="F112" s="10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x14ac:dyDescent="0.25">
      <c r="A113" s="19" t="s">
        <v>58</v>
      </c>
      <c r="B113" s="10"/>
      <c r="C113" s="10"/>
      <c r="D113" s="10"/>
      <c r="E113" s="10"/>
      <c r="F113" s="7">
        <f>I102</f>
        <v>1832.4000000000003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x14ac:dyDescent="0.25">
      <c r="A114" s="19" t="s">
        <v>59</v>
      </c>
      <c r="B114" s="10"/>
      <c r="C114" s="7">
        <f>K63</f>
        <v>24000</v>
      </c>
      <c r="D114" s="7">
        <f>M76</f>
        <v>24000</v>
      </c>
      <c r="E114" s="7">
        <f>H89</f>
        <v>15000</v>
      </c>
      <c r="F114" s="7">
        <f>M102</f>
        <v>22800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x14ac:dyDescent="0.25">
      <c r="A115" s="10"/>
      <c r="B115" s="10"/>
      <c r="C115" s="10"/>
      <c r="D115" s="10"/>
      <c r="E115" s="10"/>
      <c r="F115" s="10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ht="15.6" x14ac:dyDescent="0.3">
      <c r="A116" s="15" t="s">
        <v>95</v>
      </c>
      <c r="B116" s="10"/>
      <c r="C116" s="8">
        <f>ROUND(SUM(C108:C114),0)</f>
        <v>25853</v>
      </c>
      <c r="D116" s="8">
        <f>SUM(D108:D114)</f>
        <v>24373.200000000001</v>
      </c>
      <c r="E116" s="8">
        <f>SUM(E108:E114)</f>
        <v>24000</v>
      </c>
      <c r="F116" s="8">
        <f>SUM(F108:F114)</f>
        <v>24824.1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15.6" x14ac:dyDescent="0.3">
      <c r="A118" s="10"/>
      <c r="B118" s="37" t="s">
        <v>60</v>
      </c>
      <c r="C118" s="39" t="str">
        <f>"O plano mais económico é o "&amp;IF(D102="","-",HLOOKUP(1,C129:F131,3))</f>
        <v>O plano mais económico é o Plano3</v>
      </c>
      <c r="D118" s="39"/>
      <c r="E118" s="39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8" spans="1:16" x14ac:dyDescent="0.25">
      <c r="C128" s="25"/>
      <c r="D128" s="25"/>
      <c r="E128" s="25"/>
      <c r="F128" s="25"/>
    </row>
    <row r="129" spans="3:6" x14ac:dyDescent="0.25">
      <c r="C129" s="26">
        <f>IF(C116=MIN($C$116:$F$116),1,0)</f>
        <v>0</v>
      </c>
      <c r="D129" s="26">
        <f>IF(D116=MIN($C$116:$F$116),1,0)</f>
        <v>0</v>
      </c>
      <c r="E129" s="26">
        <f>IF(E116=MIN($C$116:$F$116),1,0)</f>
        <v>1</v>
      </c>
      <c r="F129" s="26">
        <f>IF(F116=MIN($C$116:$F$116),1,0)</f>
        <v>0</v>
      </c>
    </row>
    <row r="130" spans="3:6" x14ac:dyDescent="0.25">
      <c r="C130" s="26"/>
      <c r="D130" s="26"/>
      <c r="E130" s="26"/>
      <c r="F130" s="26"/>
    </row>
    <row r="131" spans="3:6" x14ac:dyDescent="0.25">
      <c r="C131" s="26" t="str">
        <f>C106</f>
        <v>Plano1</v>
      </c>
      <c r="D131" s="26" t="str">
        <f>D106</f>
        <v>Plano2</v>
      </c>
      <c r="E131" s="26" t="str">
        <f>E106</f>
        <v>Plano3</v>
      </c>
      <c r="F131" s="26" t="str">
        <f>F106</f>
        <v>Plano4</v>
      </c>
    </row>
    <row r="132" spans="3:6" x14ac:dyDescent="0.25">
      <c r="C132" s="25"/>
      <c r="D132" s="25"/>
      <c r="E132" s="25"/>
      <c r="F132" s="25"/>
    </row>
  </sheetData>
  <mergeCells count="9">
    <mergeCell ref="C118:E118"/>
    <mergeCell ref="B2:E2"/>
    <mergeCell ref="D78:G78"/>
    <mergeCell ref="D91:G91"/>
    <mergeCell ref="C104:F104"/>
    <mergeCell ref="B35:F35"/>
    <mergeCell ref="D51:G51"/>
    <mergeCell ref="D65:G65"/>
    <mergeCell ref="B18:E18"/>
  </mergeCells>
  <phoneticPr fontId="0" type="noConversion"/>
  <printOptions gridLinesSet="0"/>
  <pageMargins left="0.75" right="0.75" top="1" bottom="1" header="0.5" footer="0.5"/>
  <pageSetup paperSize="9" orientation="portrait" horizontalDpi="300" verticalDpi="300" copies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Acolhimento</vt:lpstr>
      <vt:lpstr>Dados e Resultados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1997-04-09T19:41:33Z</dcterms:created>
  <dcterms:modified xsi:type="dcterms:W3CDTF">2018-09-02T14:05:23Z</dcterms:modified>
</cp:coreProperties>
</file>